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083211C8-2B05-4DB5-A9F9-AFB667236B0B}" xr6:coauthVersionLast="47" xr6:coauthVersionMax="47" xr10:uidLastSave="{00000000-0000-0000-0000-000000000000}"/>
  <workbookProtection workbookAlgorithmName="SHA-512" workbookHashValue="FpxkjDM+8WkvEzi18yufyx7M+McGEIMyaLzNGTYvS9XA6TAjgywpbsqaFu64/9JMBLaShJFQiprAJLXJtEyQsQ==" workbookSaltValue="mLuwEeUAC07kJHDrcHHhPw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SOUTIEN" sheetId="1" state="hidden" r:id="rId1"/>
    <sheet name="calculateur Soutien" sheetId="2" state="hidden" r:id="rId2"/>
    <sheet name="demande devis Soutien lycee Uni" sheetId="3" r:id="rId3"/>
  </sheets>
  <definedNames>
    <definedName name="Correction_orthographique_simple">'calculateur Soutien'!#REF!</definedName>
    <definedName name="Mme">'demande devis Soutien lycee Uni'!$B$5</definedName>
    <definedName name="Prestation_souhaitée">'calculateur Soutien'!#REF!</definedName>
    <definedName name="xxxx">'demande devis Soutien lycee Uni'!$B$5</definedName>
  </definedNames>
  <calcPr calcId="191029"/>
</workbook>
</file>

<file path=xl/calcChain.xml><?xml version="1.0" encoding="utf-8"?>
<calcChain xmlns="http://schemas.openxmlformats.org/spreadsheetml/2006/main">
  <c r="B18" i="1" l="1"/>
  <c r="B32" i="1"/>
  <c r="B11" i="1"/>
  <c r="B15" i="1"/>
  <c r="B30" i="3"/>
  <c r="B25" i="1" s="1"/>
  <c r="G87" i="2"/>
  <c r="B16" i="2" s="1"/>
  <c r="B21" i="1" s="1"/>
  <c r="D23" i="2"/>
  <c r="B14" i="1"/>
  <c r="B23" i="3"/>
  <c r="A13" i="3"/>
  <c r="B16" i="1"/>
  <c r="E136" i="2"/>
  <c r="H124" i="2"/>
  <c r="G111" i="2"/>
  <c r="B24" i="1" s="1"/>
  <c r="G106" i="2"/>
  <c r="G102" i="2"/>
  <c r="G93" i="2"/>
  <c r="B36" i="1"/>
  <c r="B17" i="1"/>
  <c r="B10" i="1"/>
  <c r="I109" i="2"/>
  <c r="I110" i="2"/>
  <c r="I108" i="2"/>
  <c r="B17" i="2"/>
  <c r="A14" i="3"/>
  <c r="A15" i="3"/>
  <c r="H125" i="2"/>
  <c r="B31" i="3" l="1"/>
  <c r="B26" i="1" s="1"/>
  <c r="E17" i="2"/>
  <c r="E139" i="2"/>
  <c r="E138" i="2"/>
  <c r="E137" i="2"/>
  <c r="E135" i="2"/>
  <c r="E134" i="2"/>
  <c r="H129" i="2"/>
  <c r="H128" i="2"/>
  <c r="H127" i="2"/>
  <c r="H126" i="2"/>
  <c r="B27" i="3" l="1"/>
  <c r="B19" i="1" s="1"/>
  <c r="B42" i="3"/>
  <c r="B29" i="1" s="1"/>
  <c r="H131" i="2"/>
  <c r="E22" i="2"/>
  <c r="G22" i="2" s="1"/>
  <c r="H22" i="2"/>
  <c r="I22" i="2" s="1"/>
  <c r="L22" i="2" s="1"/>
  <c r="E23" i="2"/>
  <c r="D24" i="2" s="1"/>
  <c r="E24" i="2"/>
  <c r="D25" i="2" s="1"/>
  <c r="E25" i="2"/>
  <c r="D26" i="2" s="1"/>
  <c r="G26" i="2" s="1"/>
  <c r="E26" i="2"/>
  <c r="G27" i="2" s="1"/>
  <c r="B12" i="1"/>
  <c r="B9" i="1"/>
  <c r="B8" i="1"/>
  <c r="B7" i="1"/>
  <c r="B6" i="1"/>
  <c r="G25" i="2" l="1"/>
  <c r="M21" i="2" s="1"/>
  <c r="G24" i="2"/>
  <c r="L21" i="2" s="1"/>
  <c r="D27" i="2"/>
  <c r="O21" i="2"/>
  <c r="N21" i="2"/>
  <c r="G23" i="2"/>
  <c r="J22" i="2"/>
  <c r="J29" i="2" s="1"/>
  <c r="J30" i="2" s="1"/>
  <c r="J21" i="2"/>
  <c r="H23" i="2"/>
  <c r="K23" i="2" s="1"/>
  <c r="B28" i="1"/>
  <c r="E18" i="2" l="1"/>
  <c r="K21" i="2"/>
  <c r="O22" i="2"/>
  <c r="K22" i="2"/>
  <c r="K29" i="2" s="1"/>
  <c r="K30" i="2" s="1"/>
  <c r="M22" i="2"/>
  <c r="N22" i="2"/>
  <c r="H24" i="2"/>
  <c r="L24" i="2" s="1"/>
  <c r="I23" i="2"/>
  <c r="L23" i="2" s="1"/>
  <c r="B28" i="3" l="1"/>
  <c r="B22" i="1"/>
  <c r="O23" i="2"/>
  <c r="N23" i="2"/>
  <c r="M23" i="2"/>
  <c r="H25" i="2"/>
  <c r="I24" i="2"/>
  <c r="H26" i="2" l="1"/>
  <c r="I25" i="2"/>
  <c r="M25" i="2"/>
  <c r="O24" i="2"/>
  <c r="M24" i="2"/>
  <c r="N24" i="2"/>
  <c r="L29" i="2"/>
  <c r="L30" i="2" s="1"/>
  <c r="E19" i="2" s="1"/>
  <c r="B34" i="1" s="1"/>
  <c r="B27" i="1" l="1"/>
  <c r="B23" i="1"/>
  <c r="B31" i="1"/>
  <c r="B30" i="1"/>
  <c r="B33" i="1"/>
  <c r="M29" i="2"/>
  <c r="M30" i="2" s="1"/>
  <c r="O25" i="2"/>
  <c r="N25" i="2"/>
  <c r="H27" i="2"/>
  <c r="I26" i="2"/>
  <c r="O26" i="2" s="1"/>
  <c r="N26" i="2"/>
  <c r="N29" i="2" l="1"/>
  <c r="N30" i="2" s="1"/>
  <c r="I27" i="2"/>
  <c r="O27" i="2"/>
  <c r="O29" i="2" s="1"/>
  <c r="O30" i="2" s="1"/>
</calcChain>
</file>

<file path=xl/sharedStrings.xml><?xml version="1.0" encoding="utf-8"?>
<sst xmlns="http://schemas.openxmlformats.org/spreadsheetml/2006/main" count="209" uniqueCount="197">
  <si>
    <t>Adresse</t>
  </si>
  <si>
    <t>B - Informations techniques</t>
  </si>
  <si>
    <t>C - Détail prévisionnel</t>
  </si>
  <si>
    <t>D  - Modalités</t>
  </si>
  <si>
    <t>Français</t>
  </si>
  <si>
    <t>Tarif unitaire</t>
  </si>
  <si>
    <t>Tarif petit nombre</t>
  </si>
  <si>
    <t>Tarif moyen nombre</t>
  </si>
  <si>
    <t>Tarif grand nombre</t>
  </si>
  <si>
    <t>Tarif super nombre</t>
  </si>
  <si>
    <t>Tarif maxi nombre</t>
  </si>
  <si>
    <t>Prix plage</t>
  </si>
  <si>
    <t>Total Cumul</t>
  </si>
  <si>
    <t>Email</t>
  </si>
  <si>
    <t>Téléphone</t>
  </si>
  <si>
    <t>Prestation souhaitée</t>
  </si>
  <si>
    <t>Anglais</t>
  </si>
  <si>
    <t>Adresse postale</t>
  </si>
  <si>
    <t>Afficheur devis</t>
  </si>
  <si>
    <t>Calculateur réduction</t>
  </si>
  <si>
    <t>B - Informations techniques pour le chiffrage</t>
  </si>
  <si>
    <t>Rmarques ou demande spéciale</t>
  </si>
  <si>
    <t>Date de la demande</t>
  </si>
  <si>
    <t>Nom</t>
  </si>
  <si>
    <t>Prénom</t>
  </si>
  <si>
    <t>Mr</t>
  </si>
  <si>
    <t>Mme</t>
  </si>
  <si>
    <t>Liste réductions</t>
  </si>
  <si>
    <t>Oui</t>
  </si>
  <si>
    <t>Non</t>
  </si>
  <si>
    <t>Concatenage réductions</t>
  </si>
  <si>
    <t>réseaux</t>
  </si>
  <si>
    <t xml:space="preserve">Post Instagram - </t>
  </si>
  <si>
    <t xml:space="preserve">Post Facebook - </t>
  </si>
  <si>
    <t xml:space="preserve">Post Linkedin - </t>
  </si>
  <si>
    <t xml:space="preserve">Post Twitter - </t>
  </si>
  <si>
    <t>Oui, je vais essayer</t>
  </si>
  <si>
    <t>Civilité</t>
  </si>
  <si>
    <t>Demandeur</t>
  </si>
  <si>
    <t>Date de la demande (jj/mm/aaaa)</t>
  </si>
  <si>
    <t>Moyens de règlement</t>
  </si>
  <si>
    <t>ss</t>
  </si>
  <si>
    <t>Vous posterez notre site sur Facebook ?</t>
  </si>
  <si>
    <t>Vous posterez notre site sur liste/groupe Whatzapp ?</t>
  </si>
  <si>
    <t>Vous posterez notre site sur Linkedin ?</t>
  </si>
  <si>
    <t>Vous posterez notre site sur instagram ?</t>
  </si>
  <si>
    <t>Vous posterez notre site sur Twitter ?</t>
  </si>
  <si>
    <t>Définition tranhes</t>
  </si>
  <si>
    <t>Définition Prix/bloc/plage</t>
  </si>
  <si>
    <t xml:space="preserve">Diffusion Whatzapp - </t>
  </si>
  <si>
    <t>Parrainage (sous réserve que la personne parrainée passe commande)</t>
  </si>
  <si>
    <t>Prix réf unitaire</t>
  </si>
  <si>
    <t>% dégraissement entre tranches</t>
  </si>
  <si>
    <t>Appellation concatenee</t>
  </si>
  <si>
    <t>Référence devis</t>
  </si>
  <si>
    <t>Vous voudrez parrainer quelqu'un ?</t>
  </si>
  <si>
    <t>Aucune réduction demandée</t>
  </si>
  <si>
    <t>A - Identification - Contact</t>
  </si>
  <si>
    <t>Âge et majorité</t>
  </si>
  <si>
    <t>Je certifice être majeur(e)</t>
  </si>
  <si>
    <t>Statut</t>
  </si>
  <si>
    <t>Etudiant(e)</t>
  </si>
  <si>
    <t>Lycéen(ne)</t>
  </si>
  <si>
    <t>Autre</t>
  </si>
  <si>
    <t xml:space="preserve">Ingénieur(e) </t>
  </si>
  <si>
    <t>Nom d'un parent ou représentant légal</t>
  </si>
  <si>
    <t>Téléphone du parent ou représentant légal</t>
  </si>
  <si>
    <t>Email du parent ou représentant légal</t>
  </si>
  <si>
    <t>Personne majeur(e), ignorer la case</t>
  </si>
  <si>
    <t>Classe préparatoire</t>
  </si>
  <si>
    <t>Lycée</t>
  </si>
  <si>
    <t>IUT</t>
  </si>
  <si>
    <t>Université</t>
  </si>
  <si>
    <t>Ecole d'ingénieurs</t>
  </si>
  <si>
    <t>Langue d'enseignement</t>
  </si>
  <si>
    <t>Statique</t>
  </si>
  <si>
    <t>Résistance des matériaux</t>
  </si>
  <si>
    <t>Vibrations</t>
  </si>
  <si>
    <t xml:space="preserve">Etude ou projet </t>
  </si>
  <si>
    <t>Date envisagée pour commencer</t>
  </si>
  <si>
    <t>Le plus tôt possible</t>
  </si>
  <si>
    <t>La semaine prochaine</t>
  </si>
  <si>
    <t xml:space="preserve">Avez-vous déjà eu recours à une aide extrascolaire ? </t>
  </si>
  <si>
    <t>1h00 / semaine</t>
  </si>
  <si>
    <t>1h30 / semaine</t>
  </si>
  <si>
    <t>2h00 / semaine</t>
  </si>
  <si>
    <t>3h00 / semaine</t>
  </si>
  <si>
    <t>En ligne</t>
  </si>
  <si>
    <t xml:space="preserve">Je serai seul(e) </t>
  </si>
  <si>
    <t>Nombre heures / mois</t>
  </si>
  <si>
    <t>Prix/unité</t>
  </si>
  <si>
    <t>revient /heure</t>
  </si>
  <si>
    <t>Tranche tarifaire selon vos choix</t>
  </si>
  <si>
    <t>Combien serez-vous par séance ?</t>
  </si>
  <si>
    <t>4h00 / semaine</t>
  </si>
  <si>
    <t>5h00 / semaine</t>
  </si>
  <si>
    <t>2h30 / semaine</t>
  </si>
  <si>
    <t>4h30 / semaine</t>
  </si>
  <si>
    <t>4 semaines / mois</t>
  </si>
  <si>
    <t>3 semaines / mois</t>
  </si>
  <si>
    <t>2 semaines / mois</t>
  </si>
  <si>
    <t>1 semaines / mois</t>
  </si>
  <si>
    <t>Pour calculateur nb heures/semaine</t>
  </si>
  <si>
    <t>Pour calculateur nb semaines/mois</t>
  </si>
  <si>
    <t>Calculateur tranches dégraissement</t>
  </si>
  <si>
    <t>Avec 1 copain ou copine</t>
  </si>
  <si>
    <t>Avec 2 copains ou copines</t>
  </si>
  <si>
    <t>Réduction binôme</t>
  </si>
  <si>
    <t>Monôme</t>
  </si>
  <si>
    <t>Réduction trinôme</t>
  </si>
  <si>
    <t>Formule groupe</t>
  </si>
  <si>
    <t>Formule monôme</t>
  </si>
  <si>
    <t>Formule binôme</t>
  </si>
  <si>
    <t>Formule trinôme</t>
  </si>
  <si>
    <t>Réduction de groupe sur tarif horaire / personne</t>
  </si>
  <si>
    <t>Systèmes et mécanismes</t>
  </si>
  <si>
    <t>Niveau scolaire / post-Bac</t>
  </si>
  <si>
    <t>BTS</t>
  </si>
  <si>
    <t>Mathématiques Seconde</t>
  </si>
  <si>
    <t>Mathématiques Première</t>
  </si>
  <si>
    <t>Mathématiques Terminale</t>
  </si>
  <si>
    <t>Physique Seconde</t>
  </si>
  <si>
    <t>Physique Première</t>
  </si>
  <si>
    <t>Physique Terminale</t>
  </si>
  <si>
    <t>Prix /h</t>
  </si>
  <si>
    <t>Votre besoin mensuel estimé</t>
  </si>
  <si>
    <t>Votre besoin hebdomadaire estimé</t>
  </si>
  <si>
    <t>Décrire vos difficultés et la nature de votre besoin en quelques mots</t>
  </si>
  <si>
    <t>Nombre d'heures / mois selon votre besoin</t>
  </si>
  <si>
    <t>Personne mineure</t>
  </si>
  <si>
    <t>Personne majeure</t>
  </si>
  <si>
    <t>Représentant légal</t>
  </si>
  <si>
    <t>Non applicable - Personne majeure</t>
  </si>
  <si>
    <t>Matière souhaitée et niveau</t>
  </si>
  <si>
    <t>Support demandé en présentiel ou ligne ?</t>
  </si>
  <si>
    <t>Organisation logistique des séances</t>
  </si>
  <si>
    <t>Besoin mensuel estimé</t>
  </si>
  <si>
    <t>Besoin hebdomadaire estimé</t>
  </si>
  <si>
    <t>Volume horaire mensuel selon besoin</t>
  </si>
  <si>
    <t>Tranche tarifaire selon volume horaire</t>
  </si>
  <si>
    <t xml:space="preserve">Pour calculateur nb personnes </t>
  </si>
  <si>
    <t>Nombre de personnes par séance</t>
  </si>
  <si>
    <t>Ma réduction de l'offre quainzaine sera de</t>
  </si>
  <si>
    <t>Formules de l'offre quanzaine</t>
  </si>
  <si>
    <t>Offre quinzaine : jusqu'à 10 % sur les 15 premiers jours</t>
  </si>
  <si>
    <t>Réduction offre quinzaine pendant 15 jours</t>
  </si>
  <si>
    <t>3h30 / semaine</t>
  </si>
  <si>
    <t>Répartition souhaitée</t>
  </si>
  <si>
    <t>Pour calculateur déplacements</t>
  </si>
  <si>
    <t>Frais de déplacements</t>
  </si>
  <si>
    <t>Frais déplacement</t>
  </si>
  <si>
    <t>Logistique et organisation</t>
  </si>
  <si>
    <t>Dépôt préalable des documents de travail sur espace partagé</t>
  </si>
  <si>
    <t>Pour le soutien en ligne</t>
  </si>
  <si>
    <t xml:space="preserve">Modalité de règlement </t>
  </si>
  <si>
    <t>*En cas de modifications ultérieures le tarif sera recalculé selon le volume horaire effectif. Devis valable 48 heures après émission et ajustable.Si vous décidez de donner suite à la prestation, merci de renvoyer le contrat signé et de préciser au nom de qui doit être éditée votre facture (nom exact de la personne, du service, ou de l'établissement).</t>
  </si>
  <si>
    <t>Facturation</t>
  </si>
  <si>
    <t>Délai de suppression de séance</t>
  </si>
  <si>
    <t>24 h minimum</t>
  </si>
  <si>
    <t>Dans deux semaines</t>
  </si>
  <si>
    <t>Dans un mois</t>
  </si>
  <si>
    <t>Demande de devis - Soutien scolaire et universitaire</t>
  </si>
  <si>
    <t>Réduction de groupe sur tarif / personne</t>
  </si>
  <si>
    <t>Des frais de déplacements s'appliquent</t>
  </si>
  <si>
    <t>Pas de frais de déplacements</t>
  </si>
  <si>
    <t>Devis - Soutien Sciences et Génie</t>
  </si>
  <si>
    <t>Tarif après dégraissement sur tranche tarifaire</t>
  </si>
  <si>
    <t>Toufic WÉHBÉ, Ph.D</t>
  </si>
  <si>
    <t>ADD SKILLS Synergy | www.add-skills.com | + 33 6 74 97 63 05 | dr.toufic.wehbe@add-skills.com
SIRET 94936421000029 | Campus des Sciences de Toulouse - 221 La Tolosane - 31670 Labège - France</t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</si>
  <si>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94936421000029 | Campus des Sciences de Toulouse - 221 La Tolosane - 31670 Labège - France</t>
    </r>
  </si>
  <si>
    <t>A domicile</t>
  </si>
  <si>
    <t>Collège (3e)</t>
  </si>
  <si>
    <t>Sciences de l'ingénieur Seconde</t>
  </si>
  <si>
    <t>Sciences de l'ingénieur Première</t>
  </si>
  <si>
    <t>Sciences de l'ingénieur Terminale</t>
  </si>
  <si>
    <t>Mathématiques Troisième</t>
  </si>
  <si>
    <t>Physique Troisième</t>
  </si>
  <si>
    <t>Réparties en 1 séance / semaine</t>
  </si>
  <si>
    <t>Réparties en 2 séances / semaine</t>
  </si>
  <si>
    <t>Réparties en 3 séances / semaine</t>
  </si>
  <si>
    <t xml:space="preserve">Mineur(e) </t>
  </si>
  <si>
    <t xml:space="preserve">Demande à renvoyer remplie à </t>
  </si>
  <si>
    <t xml:space="preserve"> dr.toufic.wehbe@add-skills.com </t>
  </si>
  <si>
    <t xml:space="preserve">Difficultés et besoins </t>
  </si>
  <si>
    <t>Frais de déplacement</t>
  </si>
  <si>
    <t>Tarif horaire de base</t>
  </si>
  <si>
    <t>Tarif horaire après réduction de groupe</t>
  </si>
  <si>
    <t>Tarif horaire première quinzaine*</t>
  </si>
  <si>
    <t>Tarif horaire après première quinzaine*</t>
  </si>
  <si>
    <t>Frais séance première quinzaine</t>
  </si>
  <si>
    <t>actualiser pour chaque devis</t>
  </si>
  <si>
    <t>Actualiser cellules bleues ou jaunes</t>
  </si>
  <si>
    <t xml:space="preserve">Frais séance après 1e quinzaine </t>
  </si>
  <si>
    <t>Statut de l'élève (minorité et majorité)</t>
  </si>
  <si>
    <t>Espèces / virement bancaire / Chèque</t>
  </si>
  <si>
    <t>Hebdomadaire</t>
  </si>
  <si>
    <t>Hebdomadaire ou mensuelle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</si>
</sst>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[$LBP]"/>
    <numFmt numFmtId="165" formatCode="#,##0.00\ [$EUR]"/>
    <numFmt numFmtId="166" formatCode="0#&quot; &quot;##&quot; &quot;##&quot; &quot;##&quot; &quot;##"/>
    <numFmt numFmtId="167" formatCode="0.000"/>
    <numFmt numFmtId="168" formatCode="#,##0.0\ [$EUR]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3"/>
      <color theme="0" tint="-0.499984740745262"/>
      <name val="Ink Free"/>
      <family val="4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22"/>
      <color theme="0" tint="-0.499984740745262"/>
      <name val="Ink Free"/>
      <family val="4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94">
    <xf numFmtId="0" fontId="0" fillId="0" borderId="0" xfId="0"/>
    <xf numFmtId="15" fontId="1" fillId="0" borderId="5" xfId="0" applyNumberFormat="1" applyFont="1" applyBorder="1" applyAlignment="1" applyProtection="1">
      <alignment horizontal="left" vertical="center" wrapText="1"/>
      <protection locked="0"/>
    </xf>
    <xf numFmtId="166" fontId="1" fillId="0" borderId="5" xfId="0" applyNumberFormat="1" applyFont="1" applyBorder="1" applyAlignment="1" applyProtection="1">
      <alignment horizontal="left" vertical="center" wrapText="1"/>
      <protection locked="0"/>
    </xf>
    <xf numFmtId="15" fontId="9" fillId="0" borderId="5" xfId="1" applyNumberFormat="1" applyBorder="1" applyAlignment="1" applyProtection="1">
      <alignment horizontal="left" vertical="center" wrapText="1"/>
      <protection locked="0"/>
    </xf>
    <xf numFmtId="14" fontId="1" fillId="0" borderId="5" xfId="0" applyNumberFormat="1" applyFont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6" borderId="1" xfId="0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0" fillId="6" borderId="1" xfId="0" applyFont="1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9" fontId="0" fillId="0" borderId="1" xfId="2" applyFont="1" applyFill="1" applyBorder="1" applyProtection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/>
    <xf numFmtId="0" fontId="0" fillId="0" borderId="0" xfId="0" applyAlignment="1">
      <alignment vertical="center"/>
    </xf>
    <xf numFmtId="15" fontId="7" fillId="3" borderId="5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vertical="center"/>
    </xf>
    <xf numFmtId="9" fontId="18" fillId="0" borderId="1" xfId="2" applyFont="1" applyFill="1" applyBorder="1" applyProtection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9" fontId="5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 applyProtection="1">
      <alignment vertical="center"/>
      <protection locked="0"/>
    </xf>
    <xf numFmtId="15" fontId="7" fillId="5" borderId="5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15" fontId="7" fillId="5" borderId="0" xfId="0" applyNumberFormat="1" applyFont="1" applyFill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9" fontId="20" fillId="0" borderId="5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/>
    </xf>
    <xf numFmtId="15" fontId="23" fillId="0" borderId="5" xfId="1" applyNumberFormat="1" applyFont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8" fillId="2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49" fontId="27" fillId="2" borderId="9" xfId="0" applyNumberFormat="1" applyFont="1" applyFill="1" applyBorder="1" applyAlignment="1">
      <alignment horizontal="right" vertical="center" wrapText="1"/>
    </xf>
    <xf numFmtId="49" fontId="27" fillId="2" borderId="0" xfId="0" applyNumberFormat="1" applyFont="1" applyFill="1" applyAlignment="1">
      <alignment horizontal="right" vertical="center" wrapText="1"/>
    </xf>
    <xf numFmtId="0" fontId="8" fillId="4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left" vertical="center" wrapText="1"/>
    </xf>
    <xf numFmtId="166" fontId="13" fillId="2" borderId="1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left" vertical="center" wrapText="1"/>
    </xf>
    <xf numFmtId="2" fontId="16" fillId="2" borderId="11" xfId="0" applyNumberFormat="1" applyFont="1" applyFill="1" applyBorder="1" applyAlignment="1">
      <alignment horizontal="left" vertical="center" wrapText="1"/>
    </xf>
    <xf numFmtId="2" fontId="13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165" fontId="15" fillId="2" borderId="11" xfId="0" applyNumberFormat="1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center" wrapText="1"/>
    </xf>
    <xf numFmtId="0" fontId="31" fillId="3" borderId="11" xfId="0" applyFont="1" applyFill="1" applyBorder="1" applyAlignment="1">
      <alignment horizontal="left" vertical="center" wrapText="1"/>
    </xf>
    <xf numFmtId="15" fontId="32" fillId="3" borderId="11" xfId="0" applyNumberFormat="1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14" fillId="2" borderId="11" xfId="0" applyFont="1" applyFill="1" applyBorder="1" applyAlignment="1">
      <alignment horizontal="left" vertical="center" wrapText="1"/>
    </xf>
    <xf numFmtId="0" fontId="34" fillId="3" borderId="11" xfId="0" applyFont="1" applyFill="1" applyBorder="1" applyAlignment="1">
      <alignment vertical="center" wrapText="1"/>
    </xf>
    <xf numFmtId="2" fontId="15" fillId="4" borderId="11" xfId="0" applyNumberFormat="1" applyFont="1" applyFill="1" applyBorder="1" applyAlignment="1">
      <alignment horizontal="right" vertical="center" wrapText="1"/>
    </xf>
    <xf numFmtId="165" fontId="22" fillId="0" borderId="11" xfId="0" applyNumberFormat="1" applyFont="1" applyBorder="1" applyAlignment="1">
      <alignment horizontal="right" vertical="center" wrapText="1"/>
    </xf>
    <xf numFmtId="168" fontId="22" fillId="0" borderId="11" xfId="0" applyNumberFormat="1" applyFont="1" applyBorder="1" applyAlignment="1">
      <alignment horizontal="right" vertical="center" wrapText="1"/>
    </xf>
    <xf numFmtId="1" fontId="0" fillId="4" borderId="0" xfId="2" applyNumberFormat="1" applyFont="1" applyFill="1" applyBorder="1" applyProtection="1">
      <protection locked="0"/>
    </xf>
    <xf numFmtId="0" fontId="0" fillId="4" borderId="0" xfId="0" applyFill="1"/>
    <xf numFmtId="2" fontId="16" fillId="2" borderId="11" xfId="0" applyNumberFormat="1" applyFont="1" applyFill="1" applyBorder="1" applyAlignment="1">
      <alignment horizontal="right" vertical="center" wrapText="1"/>
    </xf>
    <xf numFmtId="2" fontId="13" fillId="2" borderId="1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vertical="top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1F1F3"/>
      <color rgb="FFECF4FA"/>
      <color rgb="FFE1EEF7"/>
      <color rgb="FFDAE7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28222</xdr:rowOff>
    </xdr:from>
    <xdr:to>
      <xdr:col>0</xdr:col>
      <xdr:colOff>982134</xdr:colOff>
      <xdr:row>0</xdr:row>
      <xdr:rowOff>571350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50B37297-44F6-4A81-AB39-69B354869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867" y="28222"/>
          <a:ext cx="948267" cy="543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45155</xdr:rowOff>
    </xdr:from>
    <xdr:to>
      <xdr:col>0</xdr:col>
      <xdr:colOff>1233663</xdr:colOff>
      <xdr:row>1</xdr:row>
      <xdr:rowOff>16960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BFC9B294-60A6-4D90-B9FD-A22AA8AEE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45155"/>
          <a:ext cx="1233663" cy="70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G44"/>
  <sheetViews>
    <sheetView zoomScaleNormal="100" workbookViewId="0">
      <selection activeCell="B11" sqref="B11"/>
    </sheetView>
  </sheetViews>
  <sheetFormatPr baseColWidth="10" defaultColWidth="11.44140625" defaultRowHeight="14.4" x14ac:dyDescent="0.3"/>
  <cols>
    <col min="1" max="1" width="40.21875" style="19" customWidth="1"/>
    <col min="2" max="2" width="44.88671875" style="19" customWidth="1"/>
    <col min="3" max="3" width="11.44140625" style="19" customWidth="1"/>
    <col min="4" max="4" width="12" style="19" bestFit="1" customWidth="1"/>
    <col min="5" max="5" width="11.44140625" style="19"/>
    <col min="6" max="6" width="19.5546875" style="19" customWidth="1"/>
    <col min="7" max="8" width="11.44140625" style="19"/>
    <col min="9" max="9" width="3" style="19" customWidth="1"/>
    <col min="10" max="10" width="11.77734375" style="19" customWidth="1"/>
    <col min="11" max="11" width="8.21875" style="19" customWidth="1"/>
    <col min="12" max="16384" width="11.44140625" style="19"/>
  </cols>
  <sheetData>
    <row r="1" spans="1:7" ht="46.8" customHeight="1" x14ac:dyDescent="0.3">
      <c r="A1" s="21"/>
      <c r="B1" s="48" t="s">
        <v>167</v>
      </c>
    </row>
    <row r="2" spans="1:7" ht="4.8" customHeight="1" x14ac:dyDescent="0.3">
      <c r="A2" s="21"/>
      <c r="B2" s="48"/>
    </row>
    <row r="3" spans="1:7" ht="19.2" customHeight="1" x14ac:dyDescent="0.3">
      <c r="A3" s="82" t="s">
        <v>165</v>
      </c>
      <c r="B3" s="82"/>
      <c r="C3" s="76"/>
      <c r="D3" s="76"/>
      <c r="E3" s="76"/>
      <c r="F3" s="76"/>
      <c r="G3" s="76"/>
    </row>
    <row r="4" spans="1:7" ht="16.2" customHeight="1" x14ac:dyDescent="0.3">
      <c r="A4" s="64" t="s">
        <v>54</v>
      </c>
      <c r="B4" s="49" t="s">
        <v>41</v>
      </c>
      <c r="D4" s="43"/>
    </row>
    <row r="5" spans="1:7" ht="15" customHeight="1" x14ac:dyDescent="0.3">
      <c r="A5" s="81" t="s">
        <v>57</v>
      </c>
      <c r="B5" s="81"/>
    </row>
    <row r="6" spans="1:7" x14ac:dyDescent="0.3">
      <c r="A6" s="60" t="s">
        <v>38</v>
      </c>
      <c r="B6" s="50" t="str">
        <f>CONCATENATE('demande devis Soutien lycee Uni'!B5, " ", 'demande devis Soutien lycee Uni'!B6," ",'demande devis Soutien lycee Uni'!B7)</f>
        <v xml:space="preserve">  </v>
      </c>
    </row>
    <row r="7" spans="1:7" x14ac:dyDescent="0.3">
      <c r="A7" s="63" t="s">
        <v>14</v>
      </c>
      <c r="B7" s="51">
        <f>'demande devis Soutien lycee Uni'!B9</f>
        <v>0</v>
      </c>
    </row>
    <row r="8" spans="1:7" x14ac:dyDescent="0.3">
      <c r="A8" s="63" t="s">
        <v>13</v>
      </c>
      <c r="B8" s="51">
        <f>'demande devis Soutien lycee Uni'!B10</f>
        <v>0</v>
      </c>
    </row>
    <row r="9" spans="1:7" ht="21" customHeight="1" x14ac:dyDescent="0.3">
      <c r="A9" s="60" t="s">
        <v>0</v>
      </c>
      <c r="B9" s="51">
        <f>'demande devis Soutien lycee Uni'!B11</f>
        <v>0</v>
      </c>
    </row>
    <row r="10" spans="1:7" ht="15.6" customHeight="1" x14ac:dyDescent="0.3">
      <c r="A10" s="62" t="s">
        <v>193</v>
      </c>
      <c r="B10" s="50" t="str">
        <f>IF('demande devis Soutien lycee Uni'!B12='calculateur Soutien'!E46,'calculateur Soutien'!F46,'calculateur Soutien'!F47)</f>
        <v>Personne majeure</v>
      </c>
    </row>
    <row r="11" spans="1:7" ht="15" customHeight="1" x14ac:dyDescent="0.3">
      <c r="A11" s="62" t="s">
        <v>131</v>
      </c>
      <c r="B11" s="59" t="str">
        <f>IF('demande devis Soutien lycee Uni'!B12='calculateur Soutien'!E47,'calculateur Soutien'!F48,     CONCATENATE('demande devis Soutien lycee Uni'!B13, " - Tél 0", 'demande devis Soutien lycee Uni'!B14, " - ",'demande devis Soutien lycee Uni'!B15))</f>
        <v xml:space="preserve"> - Tél 0 - </v>
      </c>
    </row>
    <row r="12" spans="1:7" x14ac:dyDescent="0.3">
      <c r="A12" s="60" t="s">
        <v>22</v>
      </c>
      <c r="B12" s="52">
        <f>'demande devis Soutien lycee Uni'!B16</f>
        <v>0</v>
      </c>
    </row>
    <row r="13" spans="1:7" ht="15.6" x14ac:dyDescent="0.3">
      <c r="A13" s="81" t="s">
        <v>1</v>
      </c>
      <c r="B13" s="81"/>
    </row>
    <row r="14" spans="1:7" ht="15" customHeight="1" x14ac:dyDescent="0.3">
      <c r="A14" s="60" t="s">
        <v>15</v>
      </c>
      <c r="B14" s="50" t="str">
        <f>CONCATENATE("Soutien ", 'demande devis Soutien lycee Uni'!B20)</f>
        <v xml:space="preserve">Soutien </v>
      </c>
    </row>
    <row r="15" spans="1:7" ht="31.8" customHeight="1" x14ac:dyDescent="0.3">
      <c r="A15" s="60" t="s">
        <v>183</v>
      </c>
      <c r="B15" s="67">
        <f>'demande devis Soutien lycee Uni'!B21</f>
        <v>0</v>
      </c>
    </row>
    <row r="16" spans="1:7" ht="15" customHeight="1" x14ac:dyDescent="0.3">
      <c r="A16" s="60" t="s">
        <v>135</v>
      </c>
      <c r="B16" s="50">
        <f>'demande devis Soutien lycee Uni'!B22</f>
        <v>0</v>
      </c>
    </row>
    <row r="17" spans="1:5" ht="15" customHeight="1" x14ac:dyDescent="0.3">
      <c r="A17" s="60" t="s">
        <v>136</v>
      </c>
      <c r="B17" s="50">
        <f>'demande devis Soutien lycee Uni'!B24</f>
        <v>0</v>
      </c>
    </row>
    <row r="18" spans="1:5" ht="15" customHeight="1" x14ac:dyDescent="0.3">
      <c r="A18" s="60" t="s">
        <v>137</v>
      </c>
      <c r="B18" s="50" t="str">
        <f>CONCATENATE('demande devis Soutien lycee Uni'!B25, " - ",'demande devis Soutien lycee Uni'!B26)</f>
        <v xml:space="preserve"> - </v>
      </c>
    </row>
    <row r="19" spans="1:5" ht="15" customHeight="1" x14ac:dyDescent="0.3">
      <c r="A19" s="60" t="s">
        <v>138</v>
      </c>
      <c r="B19" s="75" t="str">
        <f>'demande devis Soutien lycee Uni'!$B$27</f>
        <v>0 h / mois</v>
      </c>
    </row>
    <row r="20" spans="1:5" ht="15.6" x14ac:dyDescent="0.3">
      <c r="A20" s="81" t="s">
        <v>2</v>
      </c>
      <c r="B20" s="81"/>
    </row>
    <row r="21" spans="1:5" ht="12.6" customHeight="1" x14ac:dyDescent="0.3">
      <c r="A21" s="68" t="s">
        <v>185</v>
      </c>
      <c r="B21" s="53" t="str">
        <f>CONCATENATE('calculateur Soutien'!B16, " € / heure")</f>
        <v>FAUX € / heure</v>
      </c>
    </row>
    <row r="22" spans="1:5" ht="12.6" customHeight="1" x14ac:dyDescent="0.3">
      <c r="A22" s="60" t="s">
        <v>139</v>
      </c>
      <c r="B22" s="54" t="str">
        <f>'calculateur Soutien'!$E$18</f>
        <v>Tarif unitaire (0-6 heures / mois)</v>
      </c>
      <c r="E22" s="44"/>
    </row>
    <row r="23" spans="1:5" ht="12.6" customHeight="1" x14ac:dyDescent="0.3">
      <c r="A23" s="60" t="s">
        <v>166</v>
      </c>
      <c r="B23" s="74" t="e">
        <f>CONCATENATE(ROUND('calculateur Soutien'!E19,2), " € / heure")</f>
        <v>#DIV/0!</v>
      </c>
    </row>
    <row r="24" spans="1:5" ht="12.6" customHeight="1" x14ac:dyDescent="0.3">
      <c r="A24" s="60" t="s">
        <v>141</v>
      </c>
      <c r="B24" s="55" t="b">
        <f>'calculateur Soutien'!G111</f>
        <v>0</v>
      </c>
    </row>
    <row r="25" spans="1:5" ht="12.6" customHeight="1" x14ac:dyDescent="0.3">
      <c r="A25" s="60" t="s">
        <v>110</v>
      </c>
      <c r="B25" s="56" t="b">
        <f>'demande devis Soutien lycee Uni'!B30</f>
        <v>0</v>
      </c>
    </row>
    <row r="26" spans="1:5" ht="13.8" customHeight="1" x14ac:dyDescent="0.3">
      <c r="A26" s="60" t="s">
        <v>114</v>
      </c>
      <c r="B26" s="57" t="b">
        <f>'demande devis Soutien lycee Uni'!B31</f>
        <v>0</v>
      </c>
    </row>
    <row r="27" spans="1:5" ht="12.6" customHeight="1" x14ac:dyDescent="0.3">
      <c r="A27" s="68" t="s">
        <v>186</v>
      </c>
      <c r="B27" s="74" t="e">
        <f>CONCATENATE(ROUND( (1-B26)*'calculateur Soutien'!E19,2)," € / h / personne")</f>
        <v>#DIV/0!</v>
      </c>
    </row>
    <row r="28" spans="1:5" ht="22.8" customHeight="1" x14ac:dyDescent="0.3">
      <c r="A28" s="61" t="s">
        <v>143</v>
      </c>
      <c r="B28" s="58" t="str">
        <f xml:space="preserve"> IF('demande devis Soutien lycee Uni'!B42=0,  'calculateur Soutien'!H132, 'calculateur Soutien'!H131)</f>
        <v>Aucune réduction demandée</v>
      </c>
    </row>
    <row r="29" spans="1:5" x14ac:dyDescent="0.3">
      <c r="A29" s="60" t="s">
        <v>145</v>
      </c>
      <c r="B29" s="57">
        <f xml:space="preserve"> 'demande devis Soutien lycee Uni'!B42</f>
        <v>0</v>
      </c>
      <c r="D29" s="45"/>
      <c r="E29" s="46"/>
    </row>
    <row r="30" spans="1:5" x14ac:dyDescent="0.3">
      <c r="A30" s="68" t="s">
        <v>187</v>
      </c>
      <c r="B30" s="74" t="e">
        <f>CONCATENATE(ROUND( (1-B26)*(1-B29)*'calculateur Soutien'!E19,2)," € / h / personne")</f>
        <v>#DIV/0!</v>
      </c>
      <c r="C30" s="45"/>
      <c r="D30" s="45"/>
    </row>
    <row r="31" spans="1:5" x14ac:dyDescent="0.3">
      <c r="A31" s="68" t="s">
        <v>188</v>
      </c>
      <c r="B31" s="74" t="e">
        <f>CONCATENATE(ROUND( (1-B26)*'calculateur Soutien'!E19,2)," € / h / personne")</f>
        <v>#DIV/0!</v>
      </c>
      <c r="C31" s="45"/>
      <c r="D31" s="45"/>
    </row>
    <row r="32" spans="1:5" x14ac:dyDescent="0.3">
      <c r="A32" s="68" t="s">
        <v>184</v>
      </c>
      <c r="B32" s="69" t="str">
        <f>IF('demande devis Soutien lycee Uni'!B22='calculateur Soutien'!E112,CONCATENATE('calculateur Soutien'!F9, " € / déplacement "),'calculateur Soutien'!E113)</f>
        <v>En ligne</v>
      </c>
      <c r="C32" s="45"/>
      <c r="D32" s="45"/>
    </row>
    <row r="33" spans="1:4" ht="15" customHeight="1" x14ac:dyDescent="0.3">
      <c r="A33" s="60" t="s">
        <v>189</v>
      </c>
      <c r="B33" s="71" t="e">
        <f>CONCATENATE(" Séance de ",'calculateur Soutien'!G102," h déplacement inclus    ",   ROUND((1-B26)*(1-B29)*'calculateur Soutien'!E19,2)*'calculateur Soutien'!$G$102+'calculateur Soutien'!$F$9, " Euros")</f>
        <v>#DIV/0!</v>
      </c>
      <c r="C33" s="45"/>
      <c r="D33" s="45"/>
    </row>
    <row r="34" spans="1:4" ht="15" customHeight="1" x14ac:dyDescent="0.3">
      <c r="A34" s="60" t="s">
        <v>192</v>
      </c>
      <c r="B34" s="70" t="e">
        <f>CONCATENATE(" Séance de ",'calculateur Soutien'!G102," h déplacement inclus    ",ROUND((1-B26)*'calculateur Soutien'!E19,2)*'calculateur Soutien'!$G$102+'calculateur Soutien'!$F$9, " Euros")</f>
        <v>#DIV/0!</v>
      </c>
      <c r="C34" s="45"/>
      <c r="D34" s="45"/>
    </row>
    <row r="35" spans="1:4" ht="15.6" x14ac:dyDescent="0.3">
      <c r="A35" s="81" t="s">
        <v>3</v>
      </c>
      <c r="B35" s="81"/>
    </row>
    <row r="36" spans="1:4" ht="14.4" customHeight="1" x14ac:dyDescent="0.3">
      <c r="A36" s="60" t="s">
        <v>151</v>
      </c>
      <c r="B36" s="58">
        <f>'demande devis Soutien lycee Uni'!B22</f>
        <v>0</v>
      </c>
    </row>
    <row r="37" spans="1:4" ht="14.4" customHeight="1" x14ac:dyDescent="0.3">
      <c r="A37" s="60" t="s">
        <v>153</v>
      </c>
      <c r="B37" s="58" t="s">
        <v>152</v>
      </c>
    </row>
    <row r="38" spans="1:4" ht="14.4" customHeight="1" x14ac:dyDescent="0.3">
      <c r="A38" s="60" t="s">
        <v>157</v>
      </c>
      <c r="B38" s="59" t="s">
        <v>158</v>
      </c>
    </row>
    <row r="39" spans="1:4" ht="14.4" customHeight="1" x14ac:dyDescent="0.3">
      <c r="A39" s="60" t="s">
        <v>156</v>
      </c>
      <c r="B39" s="59" t="s">
        <v>196</v>
      </c>
    </row>
    <row r="40" spans="1:4" ht="15" customHeight="1" x14ac:dyDescent="0.3">
      <c r="A40" s="60" t="s">
        <v>154</v>
      </c>
      <c r="B40" s="59" t="s">
        <v>195</v>
      </c>
    </row>
    <row r="41" spans="1:4" ht="15" customHeight="1" x14ac:dyDescent="0.3">
      <c r="A41" s="60" t="s">
        <v>40</v>
      </c>
      <c r="B41" s="59" t="s">
        <v>194</v>
      </c>
    </row>
    <row r="42" spans="1:4" ht="43.8" customHeight="1" x14ac:dyDescent="0.3">
      <c r="A42" s="79" t="s">
        <v>155</v>
      </c>
      <c r="B42" s="80"/>
    </row>
    <row r="43" spans="1:4" ht="4.2" customHeight="1" thickBot="1" x14ac:dyDescent="0.35">
      <c r="A43" s="21"/>
      <c r="B43" s="21"/>
    </row>
    <row r="44" spans="1:4" ht="26.4" customHeight="1" thickTop="1" x14ac:dyDescent="0.3">
      <c r="A44" s="77" t="s">
        <v>168</v>
      </c>
      <c r="B44" s="78"/>
    </row>
  </sheetData>
  <sheetProtection algorithmName="SHA-512" hashValue="OA+JHoPVMPpaOafpLMQasqHgD2zwU6tX3KZ+A+LvmC/ysQIbtyAVOjTWtmdoA4KPhbcfbTMxi0DohhzSPjwBMQ==" saltValue="7g1+RZq7BAkjWhSLzN+PMQ==" spinCount="100000" sheet="1" formatCells="0" selectLockedCells="1"/>
  <dataConsolidate/>
  <mergeCells count="7">
    <mergeCell ref="A3:B3"/>
    <mergeCell ref="A44:B44"/>
    <mergeCell ref="A42:B42"/>
    <mergeCell ref="A5:B5"/>
    <mergeCell ref="A13:B13"/>
    <mergeCell ref="A20:B20"/>
    <mergeCell ref="A35:B35"/>
  </mergeCells>
  <pageMargins left="0.70866141732283472" right="0.23622047244094491" top="0.35433070866141736" bottom="0.35433070866141736" header="0.31496062992125984" footer="0.31496062992125984"/>
  <pageSetup paperSize="9" orientation="portrait" r:id="rId1"/>
  <ignoredErrors>
    <ignoredError sqref="B6:B9 B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R142"/>
  <sheetViews>
    <sheetView zoomScale="93" zoomScaleNormal="85" workbookViewId="0">
      <selection activeCell="B11" sqref="B11"/>
    </sheetView>
  </sheetViews>
  <sheetFormatPr baseColWidth="10" defaultColWidth="11.44140625" defaultRowHeight="14.4" x14ac:dyDescent="0.3"/>
  <cols>
    <col min="1" max="1" width="22.77734375" customWidth="1"/>
    <col min="5" max="5" width="27.109375" customWidth="1"/>
    <col min="6" max="6" width="19.109375" customWidth="1"/>
    <col min="7" max="7" width="45" customWidth="1"/>
    <col min="8" max="8" width="8.5546875" customWidth="1"/>
    <col min="9" max="9" width="25.5546875" customWidth="1"/>
  </cols>
  <sheetData>
    <row r="1" spans="1:15" ht="23.4" x14ac:dyDescent="0.45">
      <c r="B1" s="12" t="s">
        <v>191</v>
      </c>
    </row>
    <row r="3" spans="1:15" ht="28.8" x14ac:dyDescent="0.3">
      <c r="B3" s="13" t="s">
        <v>47</v>
      </c>
    </row>
    <row r="4" spans="1:15" x14ac:dyDescent="0.3">
      <c r="B4" s="9">
        <v>6</v>
      </c>
      <c r="E4" t="s">
        <v>108</v>
      </c>
      <c r="F4" s="10">
        <v>0</v>
      </c>
    </row>
    <row r="5" spans="1:15" x14ac:dyDescent="0.3">
      <c r="B5" s="9">
        <v>10</v>
      </c>
      <c r="E5" t="s">
        <v>107</v>
      </c>
      <c r="F5" s="10">
        <v>0.3</v>
      </c>
    </row>
    <row r="6" spans="1:15" x14ac:dyDescent="0.3">
      <c r="B6" s="9">
        <v>14</v>
      </c>
      <c r="E6" t="s">
        <v>109</v>
      </c>
      <c r="F6" s="10">
        <v>0.4</v>
      </c>
    </row>
    <row r="7" spans="1:15" x14ac:dyDescent="0.3">
      <c r="B7" s="9">
        <v>18</v>
      </c>
      <c r="F7" s="8"/>
    </row>
    <row r="8" spans="1:15" x14ac:dyDescent="0.3">
      <c r="B8" s="9">
        <v>20</v>
      </c>
      <c r="F8" s="8"/>
    </row>
    <row r="9" spans="1:15" x14ac:dyDescent="0.3">
      <c r="B9" s="9"/>
      <c r="E9" t="s">
        <v>150</v>
      </c>
      <c r="F9" s="72">
        <v>12</v>
      </c>
      <c r="G9" s="73" t="s">
        <v>190</v>
      </c>
    </row>
    <row r="10" spans="1:15" x14ac:dyDescent="0.3">
      <c r="B10" s="8"/>
    </row>
    <row r="11" spans="1:15" ht="28.8" x14ac:dyDescent="0.3">
      <c r="A11" s="13" t="s">
        <v>52</v>
      </c>
      <c r="B11" s="10">
        <v>-0.15</v>
      </c>
    </row>
    <row r="15" spans="1:15" ht="25.8" x14ac:dyDescent="0.5">
      <c r="D15" s="83" t="s">
        <v>104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/>
    </row>
    <row r="16" spans="1:15" x14ac:dyDescent="0.3">
      <c r="A16" s="13" t="s">
        <v>51</v>
      </c>
      <c r="B16" s="14" t="b">
        <f>$G$87</f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28.8" x14ac:dyDescent="0.3">
      <c r="A17" s="13" t="s">
        <v>52</v>
      </c>
      <c r="B17" s="16">
        <f>B11</f>
        <v>-0.15</v>
      </c>
      <c r="D17" s="15" t="s">
        <v>89</v>
      </c>
      <c r="E17" s="17">
        <f>G$93*$G$102</f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D18" s="15"/>
      <c r="E18" s="15" t="str">
        <f>IF($E$17&lt;=E22,  G22,         IF($E$17&lt;=E23,G23,   IF($E$17&lt;=E24,  G24,     IF($E$17&lt;=E25, G25,     IF($E$17&lt;=E26,G26,        IF($E$17&gt;E26,G27))))))</f>
        <v>Tarif unitaire (0-6 heures / mois)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D19" s="15" t="s">
        <v>91</v>
      </c>
      <c r="E19" s="18" t="e">
        <f>IF($E$18=J21,  J30,         IF($E$18=K21,K30,   IF($E$18=L21,  L30,     IF($E$18=M21, M30,     IF($E$18=N21,N30,        IF($E$18=O21,O30))))))</f>
        <v>#DIV/0!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3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72" x14ac:dyDescent="0.3">
      <c r="D21" s="15"/>
      <c r="E21" s="13" t="s">
        <v>47</v>
      </c>
      <c r="F21" s="15"/>
      <c r="G21" s="15" t="s">
        <v>53</v>
      </c>
      <c r="H21" s="13" t="s">
        <v>48</v>
      </c>
      <c r="I21" s="15" t="s">
        <v>11</v>
      </c>
      <c r="J21" s="13" t="str">
        <f>G22</f>
        <v>Tarif unitaire (0-6 heures / mois)</v>
      </c>
      <c r="K21" s="13" t="str">
        <f>G23</f>
        <v>Tarif petit nombre (7-10 heures / mois)</v>
      </c>
      <c r="L21" s="13" t="str">
        <f>G24</f>
        <v>Tarif moyen nombre (11-14 heures / mois)</v>
      </c>
      <c r="M21" s="13" t="str">
        <f>G25</f>
        <v>Tarif grand nombre (15-18 heures / mois)</v>
      </c>
      <c r="N21" s="13" t="str">
        <f>G26</f>
        <v>Tarif super nombre (19-20 heures / mois)</v>
      </c>
      <c r="O21" s="13" t="str">
        <f>G27</f>
        <v>Tarif maxi nombre ( plus de 20- heures / mois)</v>
      </c>
    </row>
    <row r="22" spans="1:15" x14ac:dyDescent="0.3">
      <c r="D22" s="15">
        <v>0</v>
      </c>
      <c r="E22" s="15">
        <f>B4</f>
        <v>6</v>
      </c>
      <c r="F22" s="15" t="s">
        <v>5</v>
      </c>
      <c r="G22" s="15" t="str">
        <f>CONCATENATE(F22," (",D22, "-",E22," heures / mois)")</f>
        <v>Tarif unitaire (0-6 heures / mois)</v>
      </c>
      <c r="H22" s="15" t="b">
        <f>B16</f>
        <v>0</v>
      </c>
      <c r="I22" s="15">
        <f>(E22-D22)*H22</f>
        <v>0</v>
      </c>
      <c r="J22" s="15">
        <f>($E$17-0)*H22</f>
        <v>0</v>
      </c>
      <c r="K22" s="15">
        <f>I22</f>
        <v>0</v>
      </c>
      <c r="L22" s="15">
        <f>I22</f>
        <v>0</v>
      </c>
      <c r="M22" s="15">
        <f>I22</f>
        <v>0</v>
      </c>
      <c r="N22" s="15">
        <f>I22</f>
        <v>0</v>
      </c>
      <c r="O22" s="15">
        <f>I22</f>
        <v>0</v>
      </c>
    </row>
    <row r="23" spans="1:15" x14ac:dyDescent="0.3">
      <c r="D23" s="15">
        <f>E22+1</f>
        <v>7</v>
      </c>
      <c r="E23" s="15">
        <f>B5</f>
        <v>10</v>
      </c>
      <c r="F23" s="15" t="s">
        <v>6</v>
      </c>
      <c r="G23" s="15" t="str">
        <f t="shared" ref="G23:G26" si="0">CONCATENATE(F23," (",D23, "-",E23," heures / mois)")</f>
        <v>Tarif petit nombre (7-10 heures / mois)</v>
      </c>
      <c r="H23" s="18">
        <f>H22*(1+$B$17)</f>
        <v>0</v>
      </c>
      <c r="I23" s="15">
        <f>(E23-E22)*H23</f>
        <v>0</v>
      </c>
      <c r="J23" s="15"/>
      <c r="K23" s="15">
        <f>($E$17-E22)*H23</f>
        <v>0</v>
      </c>
      <c r="L23" s="15">
        <f>I23</f>
        <v>0</v>
      </c>
      <c r="M23" s="15">
        <f>I23</f>
        <v>0</v>
      </c>
      <c r="N23" s="15">
        <f>I23</f>
        <v>0</v>
      </c>
      <c r="O23" s="15">
        <f>I23</f>
        <v>0</v>
      </c>
    </row>
    <row r="24" spans="1:15" x14ac:dyDescent="0.3">
      <c r="D24" s="15">
        <f t="shared" ref="D24:D27" si="1">E23+1</f>
        <v>11</v>
      </c>
      <c r="E24" s="15">
        <f>B6</f>
        <v>14</v>
      </c>
      <c r="F24" s="15" t="s">
        <v>7</v>
      </c>
      <c r="G24" s="15" t="str">
        <f t="shared" si="0"/>
        <v>Tarif moyen nombre (11-14 heures / mois)</v>
      </c>
      <c r="H24" s="18">
        <f>H23*(1+$B$17)</f>
        <v>0</v>
      </c>
      <c r="I24" s="15">
        <f>(E24-E23)*H24</f>
        <v>0</v>
      </c>
      <c r="J24" s="15"/>
      <c r="K24" s="15"/>
      <c r="L24" s="15">
        <f>($E$17-E23)*H24</f>
        <v>0</v>
      </c>
      <c r="M24" s="15">
        <f>I24</f>
        <v>0</v>
      </c>
      <c r="N24" s="15">
        <f>I24</f>
        <v>0</v>
      </c>
      <c r="O24" s="15">
        <f>I24</f>
        <v>0</v>
      </c>
    </row>
    <row r="25" spans="1:15" x14ac:dyDescent="0.3">
      <c r="D25" s="15">
        <f t="shared" si="1"/>
        <v>15</v>
      </c>
      <c r="E25" s="15">
        <f>B7</f>
        <v>18</v>
      </c>
      <c r="F25" s="15" t="s">
        <v>8</v>
      </c>
      <c r="G25" s="15" t="str">
        <f t="shared" si="0"/>
        <v>Tarif grand nombre (15-18 heures / mois)</v>
      </c>
      <c r="H25" s="18">
        <f>H24*(1+$B$17)</f>
        <v>0</v>
      </c>
      <c r="I25" s="15">
        <f>(E25-E24)*H25</f>
        <v>0</v>
      </c>
      <c r="J25" s="15"/>
      <c r="K25" s="15"/>
      <c r="L25" s="15"/>
      <c r="M25" s="15">
        <f>($E$17-E24)*H25</f>
        <v>0</v>
      </c>
      <c r="N25" s="15">
        <f>I25</f>
        <v>0</v>
      </c>
      <c r="O25" s="15">
        <f>I25</f>
        <v>0</v>
      </c>
    </row>
    <row r="26" spans="1:15" x14ac:dyDescent="0.3">
      <c r="D26" s="15">
        <f t="shared" si="1"/>
        <v>19</v>
      </c>
      <c r="E26" s="15">
        <f>B8</f>
        <v>20</v>
      </c>
      <c r="F26" s="15" t="s">
        <v>9</v>
      </c>
      <c r="G26" s="15" t="str">
        <f t="shared" si="0"/>
        <v>Tarif super nombre (19-20 heures / mois)</v>
      </c>
      <c r="H26" s="18">
        <f>H25*(1+$B$17)</f>
        <v>0</v>
      </c>
      <c r="I26" s="15">
        <f>(E26-E25)*H26</f>
        <v>0</v>
      </c>
      <c r="J26" s="15"/>
      <c r="K26" s="15"/>
      <c r="L26" s="15"/>
      <c r="M26" s="15"/>
      <c r="N26" s="15">
        <f>($E$17-E25)*H26</f>
        <v>0</v>
      </c>
      <c r="O26" s="15">
        <f>I26</f>
        <v>0</v>
      </c>
    </row>
    <row r="27" spans="1:15" x14ac:dyDescent="0.3">
      <c r="D27" s="15">
        <f t="shared" si="1"/>
        <v>21</v>
      </c>
      <c r="E27" s="15"/>
      <c r="F27" s="15" t="s">
        <v>10</v>
      </c>
      <c r="G27" s="15" t="str">
        <f>CONCATENATE(F27," ( plus de ",E26, "-",E27," heures / mois)")</f>
        <v>Tarif maxi nombre ( plus de 20- heures / mois)</v>
      </c>
      <c r="H27" s="18">
        <f>H26*(1+$B$17)</f>
        <v>0</v>
      </c>
      <c r="I27" s="15">
        <f>(E27-E26)*H27</f>
        <v>0</v>
      </c>
      <c r="J27" s="15"/>
      <c r="K27" s="15"/>
      <c r="L27" s="15"/>
      <c r="M27" s="15"/>
      <c r="N27" s="15"/>
      <c r="O27" s="15">
        <f>($E$17-E26)*H27</f>
        <v>0</v>
      </c>
    </row>
    <row r="28" spans="1:15" x14ac:dyDescent="0.3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">
      <c r="D29" s="15"/>
      <c r="E29" s="15"/>
      <c r="F29" s="15"/>
      <c r="G29" s="15"/>
      <c r="H29" s="15"/>
      <c r="I29" s="13" t="s">
        <v>12</v>
      </c>
      <c r="J29" s="15">
        <f>SUM(J22:J27)</f>
        <v>0</v>
      </c>
      <c r="K29" s="15">
        <f t="shared" ref="K29:O29" si="2">SUM(K22:K27)</f>
        <v>0</v>
      </c>
      <c r="L29" s="15">
        <f t="shared" si="2"/>
        <v>0</v>
      </c>
      <c r="M29" s="15">
        <f t="shared" si="2"/>
        <v>0</v>
      </c>
      <c r="N29" s="15">
        <f t="shared" si="2"/>
        <v>0</v>
      </c>
      <c r="O29" s="15">
        <f t="shared" si="2"/>
        <v>0</v>
      </c>
    </row>
    <row r="30" spans="1:15" x14ac:dyDescent="0.3">
      <c r="D30" s="15"/>
      <c r="E30" s="15"/>
      <c r="F30" s="15"/>
      <c r="G30" s="15"/>
      <c r="H30" s="15"/>
      <c r="I30" s="15" t="s">
        <v>90</v>
      </c>
      <c r="J30" s="18" t="e">
        <f>J29/$E$17</f>
        <v>#DIV/0!</v>
      </c>
      <c r="K30" s="18" t="e">
        <f t="shared" ref="K30:O30" si="3">K29/$E$17</f>
        <v>#DIV/0!</v>
      </c>
      <c r="L30" s="18" t="e">
        <f t="shared" si="3"/>
        <v>#DIV/0!</v>
      </c>
      <c r="M30" s="18" t="e">
        <f t="shared" si="3"/>
        <v>#DIV/0!</v>
      </c>
      <c r="N30" s="18" t="e">
        <f t="shared" si="3"/>
        <v>#DIV/0!</v>
      </c>
      <c r="O30" s="18" t="e">
        <f t="shared" si="3"/>
        <v>#DIV/0!</v>
      </c>
    </row>
    <row r="37" spans="4:11" x14ac:dyDescent="0.3">
      <c r="E37" s="19" t="s">
        <v>26</v>
      </c>
    </row>
    <row r="38" spans="4:11" x14ac:dyDescent="0.3">
      <c r="E38" s="19" t="s">
        <v>25</v>
      </c>
    </row>
    <row r="40" spans="4:11" x14ac:dyDescent="0.3">
      <c r="E40" t="s">
        <v>62</v>
      </c>
    </row>
    <row r="41" spans="4:11" x14ac:dyDescent="0.3">
      <c r="D41" s="19"/>
      <c r="E41" t="s">
        <v>61</v>
      </c>
      <c r="F41" s="19"/>
      <c r="G41" s="19"/>
      <c r="H41" s="19"/>
      <c r="I41" s="19"/>
      <c r="J41" s="19"/>
      <c r="K41" s="19"/>
    </row>
    <row r="42" spans="4:11" x14ac:dyDescent="0.3">
      <c r="D42" s="19"/>
      <c r="E42" s="19" t="s">
        <v>64</v>
      </c>
      <c r="F42" s="19"/>
      <c r="G42" s="19"/>
      <c r="H42" s="19"/>
      <c r="I42" s="19"/>
      <c r="J42" s="19"/>
      <c r="K42" s="19"/>
    </row>
    <row r="43" spans="4:11" x14ac:dyDescent="0.3">
      <c r="D43" s="19"/>
      <c r="E43" s="19" t="s">
        <v>63</v>
      </c>
      <c r="F43" s="19"/>
      <c r="G43" s="19"/>
      <c r="H43" s="19"/>
      <c r="I43" s="19"/>
      <c r="J43" s="19"/>
      <c r="K43" s="19"/>
    </row>
    <row r="44" spans="4:11" x14ac:dyDescent="0.3">
      <c r="D44" s="19"/>
      <c r="E44" s="19"/>
      <c r="F44" s="19"/>
      <c r="G44" s="19"/>
      <c r="H44" s="19"/>
      <c r="I44" s="19"/>
      <c r="J44" s="19"/>
      <c r="K44" s="19"/>
    </row>
    <row r="45" spans="4:11" x14ac:dyDescent="0.3">
      <c r="D45" s="19"/>
      <c r="F45" s="19"/>
      <c r="G45" s="19"/>
      <c r="H45" s="19"/>
      <c r="I45" s="19"/>
      <c r="J45" s="19"/>
      <c r="K45" s="19"/>
    </row>
    <row r="46" spans="4:11" x14ac:dyDescent="0.3">
      <c r="D46" s="19"/>
      <c r="E46" s="19" t="s">
        <v>180</v>
      </c>
      <c r="F46" s="19" t="s">
        <v>129</v>
      </c>
      <c r="G46" s="19" t="s">
        <v>68</v>
      </c>
      <c r="H46" s="19"/>
      <c r="I46" s="19"/>
      <c r="J46" s="19"/>
      <c r="K46" s="19"/>
    </row>
    <row r="47" spans="4:11" ht="15.6" x14ac:dyDescent="0.3">
      <c r="E47" s="19" t="s">
        <v>59</v>
      </c>
      <c r="F47" s="19" t="s">
        <v>130</v>
      </c>
      <c r="G47" s="20" t="s">
        <v>65</v>
      </c>
      <c r="I47" s="19"/>
      <c r="J47" s="19"/>
      <c r="K47" s="19"/>
    </row>
    <row r="48" spans="4:11" ht="15.6" x14ac:dyDescent="0.3">
      <c r="D48" s="19"/>
      <c r="E48" s="19"/>
      <c r="F48" s="19" t="s">
        <v>132</v>
      </c>
      <c r="G48" s="20" t="s">
        <v>66</v>
      </c>
      <c r="H48" s="19"/>
      <c r="I48" s="19"/>
      <c r="J48" s="19"/>
      <c r="K48" s="19"/>
    </row>
    <row r="49" spans="4:18" ht="15.6" x14ac:dyDescent="0.3">
      <c r="D49" s="19"/>
      <c r="E49" s="19"/>
      <c r="F49" s="19"/>
      <c r="G49" s="20" t="s">
        <v>67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4:18" x14ac:dyDescent="0.3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4:18" x14ac:dyDescent="0.3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4:18" x14ac:dyDescent="0.3"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4:18" x14ac:dyDescent="0.3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4:18" x14ac:dyDescent="0.3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4:18" x14ac:dyDescent="0.3">
      <c r="D55" s="19"/>
      <c r="E55" s="19" t="s">
        <v>171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4:18" x14ac:dyDescent="0.3">
      <c r="D56" s="19"/>
      <c r="E56" s="19" t="s">
        <v>70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4:18" x14ac:dyDescent="0.3">
      <c r="D57" s="19"/>
      <c r="E57" s="19" t="s">
        <v>117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4:18" x14ac:dyDescent="0.3">
      <c r="D58" s="19"/>
      <c r="E58" s="19" t="s">
        <v>71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4:18" x14ac:dyDescent="0.3">
      <c r="D59" s="19"/>
      <c r="E59" s="19" t="s">
        <v>69</v>
      </c>
      <c r="F59" s="19"/>
      <c r="G59" s="19"/>
      <c r="H59" s="19"/>
      <c r="I59" s="19"/>
      <c r="J59" s="19"/>
      <c r="K59" s="19"/>
    </row>
    <row r="60" spans="4:18" x14ac:dyDescent="0.3">
      <c r="D60" s="19"/>
      <c r="E60" s="19" t="s">
        <v>73</v>
      </c>
      <c r="F60" s="19"/>
      <c r="G60" s="19"/>
      <c r="H60" s="19"/>
      <c r="I60" s="19"/>
      <c r="J60" s="19"/>
      <c r="K60" s="19"/>
    </row>
    <row r="61" spans="4:18" x14ac:dyDescent="0.3">
      <c r="D61" s="19"/>
      <c r="E61" s="19" t="s">
        <v>72</v>
      </c>
      <c r="F61" s="19"/>
      <c r="G61" s="19"/>
      <c r="H61" s="19"/>
      <c r="I61" s="19"/>
      <c r="J61" s="19"/>
      <c r="K61" s="19"/>
    </row>
    <row r="62" spans="4:18" x14ac:dyDescent="0.3">
      <c r="D62" s="19"/>
      <c r="E62" s="19" t="s">
        <v>63</v>
      </c>
      <c r="F62" s="19"/>
      <c r="G62" s="19"/>
      <c r="H62" s="19"/>
      <c r="I62" s="19"/>
      <c r="J62" s="19"/>
      <c r="K62" s="19"/>
    </row>
    <row r="63" spans="4:18" x14ac:dyDescent="0.3">
      <c r="D63" s="19"/>
      <c r="E63" s="19"/>
      <c r="F63" s="19"/>
      <c r="G63" s="19"/>
      <c r="H63" s="19"/>
      <c r="I63" s="19"/>
      <c r="J63" s="19"/>
      <c r="K63" s="19"/>
    </row>
    <row r="64" spans="4:18" x14ac:dyDescent="0.3">
      <c r="D64" s="19"/>
      <c r="E64" s="19" t="s">
        <v>4</v>
      </c>
      <c r="F64" s="19"/>
      <c r="G64" s="19"/>
      <c r="H64" s="19"/>
      <c r="I64" s="19"/>
      <c r="J64" s="19"/>
      <c r="K64" s="19"/>
    </row>
    <row r="65" spans="4:11" x14ac:dyDescent="0.3">
      <c r="D65" s="19"/>
      <c r="E65" s="19" t="s">
        <v>16</v>
      </c>
      <c r="F65" s="19"/>
      <c r="G65" s="19"/>
      <c r="H65" s="19"/>
      <c r="I65" s="19"/>
      <c r="J65" s="19"/>
      <c r="K65" s="19"/>
    </row>
    <row r="66" spans="4:11" x14ac:dyDescent="0.3">
      <c r="D66" s="19"/>
      <c r="E66" s="19"/>
      <c r="F66" s="19"/>
      <c r="G66" s="19"/>
      <c r="H66" s="19"/>
      <c r="I66" s="19"/>
      <c r="J66" s="19"/>
      <c r="K66" s="19"/>
    </row>
    <row r="68" spans="4:11" x14ac:dyDescent="0.3">
      <c r="D68" s="19"/>
      <c r="E68" s="86" t="s">
        <v>124</v>
      </c>
      <c r="F68" s="86"/>
      <c r="G68" s="19"/>
      <c r="H68" s="19"/>
      <c r="I68" s="19"/>
      <c r="J68" s="19"/>
      <c r="K68" s="19"/>
    </row>
    <row r="69" spans="4:11" x14ac:dyDescent="0.3">
      <c r="D69" s="19"/>
      <c r="E69" s="19" t="s">
        <v>29</v>
      </c>
      <c r="F69" s="28"/>
      <c r="G69" s="19"/>
      <c r="H69" s="19"/>
      <c r="I69" s="19"/>
      <c r="J69" s="19"/>
      <c r="K69" s="19"/>
    </row>
    <row r="70" spans="4:11" x14ac:dyDescent="0.3">
      <c r="D70" s="19"/>
      <c r="E70" s="19"/>
      <c r="F70" s="28"/>
      <c r="G70" s="19"/>
      <c r="H70" s="19"/>
      <c r="I70" s="19"/>
      <c r="J70" s="19"/>
      <c r="K70" s="19"/>
    </row>
    <row r="71" spans="4:11" x14ac:dyDescent="0.3">
      <c r="D71" s="19"/>
      <c r="E71" s="21" t="s">
        <v>175</v>
      </c>
      <c r="F71" s="28">
        <v>35</v>
      </c>
      <c r="G71" s="19"/>
      <c r="H71" s="19"/>
      <c r="I71" s="19"/>
      <c r="J71" s="19"/>
      <c r="K71" s="19"/>
    </row>
    <row r="72" spans="4:11" x14ac:dyDescent="0.3">
      <c r="D72" s="19"/>
      <c r="E72" s="21" t="s">
        <v>118</v>
      </c>
      <c r="F72" s="28">
        <v>40</v>
      </c>
      <c r="G72" s="19"/>
      <c r="H72" s="19"/>
      <c r="I72" s="19"/>
      <c r="J72" s="19"/>
      <c r="K72" s="19"/>
    </row>
    <row r="73" spans="4:11" x14ac:dyDescent="0.3">
      <c r="D73" s="19"/>
      <c r="E73" s="21" t="s">
        <v>119</v>
      </c>
      <c r="F73" s="28">
        <v>45</v>
      </c>
      <c r="G73" s="19"/>
      <c r="H73" s="19"/>
      <c r="I73" s="19"/>
      <c r="J73" s="19"/>
      <c r="K73" s="19"/>
    </row>
    <row r="74" spans="4:11" x14ac:dyDescent="0.3">
      <c r="D74" s="19"/>
      <c r="E74" s="21" t="s">
        <v>120</v>
      </c>
      <c r="F74" s="28">
        <v>50</v>
      </c>
      <c r="G74" s="19"/>
      <c r="H74" s="19"/>
      <c r="I74" s="19"/>
      <c r="J74" s="19"/>
      <c r="K74" s="19"/>
    </row>
    <row r="75" spans="4:11" x14ac:dyDescent="0.3">
      <c r="D75" s="19"/>
      <c r="E75" s="21" t="s">
        <v>176</v>
      </c>
      <c r="F75" s="28">
        <v>38</v>
      </c>
      <c r="G75" s="19"/>
      <c r="H75" s="19"/>
      <c r="I75" s="19"/>
      <c r="J75" s="19"/>
      <c r="K75" s="19"/>
    </row>
    <row r="76" spans="4:11" x14ac:dyDescent="0.3">
      <c r="D76" s="19"/>
      <c r="E76" s="21" t="s">
        <v>121</v>
      </c>
      <c r="F76" s="28">
        <v>42</v>
      </c>
      <c r="G76" s="19"/>
      <c r="H76" s="19"/>
      <c r="I76" s="19"/>
      <c r="J76" s="19"/>
      <c r="K76" s="19"/>
    </row>
    <row r="77" spans="4:11" x14ac:dyDescent="0.3">
      <c r="D77" s="19"/>
      <c r="E77" s="21" t="s">
        <v>122</v>
      </c>
      <c r="F77" s="28">
        <v>47</v>
      </c>
      <c r="G77" s="19"/>
      <c r="H77" s="19"/>
      <c r="I77" s="19"/>
      <c r="J77" s="19"/>
      <c r="K77" s="19"/>
    </row>
    <row r="78" spans="4:11" x14ac:dyDescent="0.3">
      <c r="D78" s="19"/>
      <c r="E78" s="21" t="s">
        <v>123</v>
      </c>
      <c r="F78" s="28">
        <v>52</v>
      </c>
      <c r="G78" s="19"/>
      <c r="H78" s="19"/>
      <c r="I78" s="19"/>
      <c r="J78" s="19"/>
      <c r="K78" s="19"/>
    </row>
    <row r="79" spans="4:11" x14ac:dyDescent="0.3">
      <c r="D79" s="19"/>
      <c r="E79" s="21" t="s">
        <v>172</v>
      </c>
      <c r="F79" s="28">
        <v>42</v>
      </c>
      <c r="G79" s="19"/>
      <c r="H79" s="19"/>
      <c r="I79" s="19"/>
      <c r="J79" s="19"/>
      <c r="K79" s="19"/>
    </row>
    <row r="80" spans="4:11" x14ac:dyDescent="0.3">
      <c r="D80" s="19"/>
      <c r="E80" s="21" t="s">
        <v>173</v>
      </c>
      <c r="F80" s="28">
        <v>47</v>
      </c>
      <c r="G80" s="19"/>
      <c r="H80" s="19"/>
      <c r="I80" s="19"/>
      <c r="J80" s="19"/>
      <c r="K80" s="19"/>
    </row>
    <row r="81" spans="4:11" x14ac:dyDescent="0.3">
      <c r="D81" s="19"/>
      <c r="E81" s="21" t="s">
        <v>174</v>
      </c>
      <c r="F81" s="28">
        <v>52</v>
      </c>
      <c r="G81" s="19"/>
      <c r="H81" s="19"/>
      <c r="I81" s="19"/>
      <c r="J81" s="19"/>
      <c r="K81" s="19"/>
    </row>
    <row r="82" spans="4:11" x14ac:dyDescent="0.3">
      <c r="D82" s="19"/>
      <c r="E82" s="21" t="s">
        <v>75</v>
      </c>
      <c r="F82" s="28">
        <v>50</v>
      </c>
      <c r="G82" s="19"/>
      <c r="H82" s="19"/>
      <c r="I82" s="19"/>
      <c r="J82" s="19"/>
      <c r="K82" s="19"/>
    </row>
    <row r="83" spans="4:11" x14ac:dyDescent="0.3">
      <c r="D83" s="19"/>
      <c r="E83" s="21" t="s">
        <v>76</v>
      </c>
      <c r="F83" s="28">
        <v>55</v>
      </c>
      <c r="G83" s="19"/>
      <c r="H83" s="19"/>
      <c r="I83" s="19"/>
      <c r="J83" s="19"/>
      <c r="K83" s="19"/>
    </row>
    <row r="84" spans="4:11" x14ac:dyDescent="0.3">
      <c r="D84" s="19"/>
      <c r="E84" s="21" t="s">
        <v>77</v>
      </c>
      <c r="F84" s="28">
        <v>55</v>
      </c>
      <c r="G84" s="19"/>
      <c r="H84" s="19"/>
      <c r="I84" s="19"/>
      <c r="J84" s="19"/>
      <c r="K84" s="19"/>
    </row>
    <row r="85" spans="4:11" x14ac:dyDescent="0.3">
      <c r="D85" s="19"/>
      <c r="E85" s="21" t="s">
        <v>115</v>
      </c>
      <c r="F85" s="28">
        <v>60</v>
      </c>
      <c r="G85" s="19"/>
      <c r="H85" s="19"/>
      <c r="I85" s="19"/>
      <c r="J85" s="19"/>
      <c r="K85" s="19"/>
    </row>
    <row r="86" spans="4:11" x14ac:dyDescent="0.3">
      <c r="D86" s="19"/>
      <c r="E86" s="21" t="s">
        <v>78</v>
      </c>
      <c r="F86" s="28">
        <v>60</v>
      </c>
      <c r="G86" s="19" t="s">
        <v>102</v>
      </c>
      <c r="H86" s="19"/>
      <c r="I86" s="19"/>
      <c r="J86" s="19"/>
      <c r="K86" s="19"/>
    </row>
    <row r="87" spans="4:11" x14ac:dyDescent="0.3">
      <c r="D87" s="19"/>
      <c r="E87" s="21" t="s">
        <v>63</v>
      </c>
      <c r="F87" s="9"/>
      <c r="G87" s="22" t="b">
        <f>IF('demande devis Soutien lycee Uni'!$B$20=E71,F71,IF('demande devis Soutien lycee Uni'!$B$20=E72,F72,IF('demande devis Soutien lycee Uni'!$B$20=E73,F73,IF('demande devis Soutien lycee Uni'!$B$20=E74,F74,IF('demande devis Soutien lycee Uni'!$B$20=E75,F75, IF('demande devis Soutien lycee Uni'!$B$20=E76,F76,IF('demande devis Soutien lycee Uni'!$B$20=E77,F77,IF('demande devis Soutien lycee Uni'!$B$20=E78,F78,IF('demande devis Soutien lycee Uni'!$B$20=E79,F79,IF('demande devis Soutien lycee Uni'!$B$20=E80,F80,IF('demande devis Soutien lycee Uni'!$B$20=E81,F81,IF('demande devis Soutien lycee Uni'!$B$20=E82,F82,IF('demande devis Soutien lycee Uni'!$B$20=E83,F83,IF('demande devis Soutien lycee Uni'!$B$20=E84,F84,IF('demande devis Soutien lycee Uni'!$B$20=E85,F85,IF('demande devis Soutien lycee Uni'!$B$20=E86,F86,IF('demande devis Soutien lycee Uni'!$B$20=E87,F87)))))))))))))))))</f>
        <v>0</v>
      </c>
      <c r="H87" s="19"/>
      <c r="I87" s="19"/>
      <c r="J87" s="19"/>
      <c r="K87" s="19"/>
    </row>
    <row r="88" spans="4:11" x14ac:dyDescent="0.3">
      <c r="D88" s="19"/>
      <c r="E88" s="21"/>
      <c r="F88" s="19"/>
      <c r="G88" s="19"/>
      <c r="H88" s="19"/>
      <c r="I88" s="19"/>
      <c r="J88" s="19"/>
      <c r="K88" s="19"/>
    </row>
    <row r="89" spans="4:11" x14ac:dyDescent="0.3">
      <c r="D89" s="19"/>
      <c r="E89" s="21" t="s">
        <v>98</v>
      </c>
      <c r="F89" s="19">
        <v>4</v>
      </c>
      <c r="G89" s="19"/>
      <c r="H89" s="19"/>
      <c r="I89" s="19"/>
      <c r="J89" s="19"/>
      <c r="K89" s="19"/>
    </row>
    <row r="90" spans="4:11" x14ac:dyDescent="0.3">
      <c r="D90" s="19"/>
      <c r="E90" s="21" t="s">
        <v>99</v>
      </c>
      <c r="F90" s="19">
        <v>3</v>
      </c>
      <c r="G90" s="19"/>
      <c r="H90" s="19"/>
      <c r="I90" s="19"/>
      <c r="J90" s="19"/>
      <c r="K90" s="19"/>
    </row>
    <row r="91" spans="4:11" x14ac:dyDescent="0.3">
      <c r="D91" s="19"/>
      <c r="E91" s="21" t="s">
        <v>100</v>
      </c>
      <c r="F91" s="19">
        <v>2</v>
      </c>
      <c r="G91" s="19"/>
      <c r="H91" s="19"/>
      <c r="I91" s="19"/>
      <c r="J91" s="19"/>
      <c r="K91" s="19"/>
    </row>
    <row r="92" spans="4:11" x14ac:dyDescent="0.3">
      <c r="D92" s="19"/>
      <c r="E92" s="21" t="s">
        <v>101</v>
      </c>
      <c r="F92" s="19">
        <v>1</v>
      </c>
      <c r="G92" s="19" t="s">
        <v>103</v>
      </c>
      <c r="H92" s="19"/>
      <c r="I92" s="19"/>
      <c r="J92" s="19"/>
      <c r="K92" s="19"/>
    </row>
    <row r="93" spans="4:11" x14ac:dyDescent="0.3">
      <c r="D93" s="19"/>
      <c r="E93" s="21"/>
      <c r="F93" s="19"/>
      <c r="G93" s="19" t="b">
        <f>IF('demande devis Soutien lycee Uni'!$B$24=E89,F89,IF('demande devis Soutien lycee Uni'!$B$24=E90,F90,IF('demande devis Soutien lycee Uni'!$B$24=E91,F91,IF('demande devis Soutien lycee Uni'!$B$24=E92,F92))))</f>
        <v>0</v>
      </c>
      <c r="H93" s="19"/>
      <c r="I93" s="19"/>
      <c r="J93" s="19"/>
      <c r="K93" s="19"/>
    </row>
    <row r="94" spans="4:11" x14ac:dyDescent="0.3">
      <c r="D94" s="19"/>
      <c r="E94" s="21" t="s">
        <v>83</v>
      </c>
      <c r="F94" s="19">
        <v>1</v>
      </c>
      <c r="G94" s="19"/>
      <c r="H94" s="19"/>
      <c r="I94" s="19"/>
      <c r="J94" s="19"/>
      <c r="K94" s="19"/>
    </row>
    <row r="95" spans="4:11" x14ac:dyDescent="0.3">
      <c r="D95" s="19"/>
      <c r="E95" s="21" t="s">
        <v>84</v>
      </c>
      <c r="F95" s="19">
        <v>1.5</v>
      </c>
      <c r="G95" s="19"/>
      <c r="H95" s="19"/>
      <c r="I95" s="19"/>
      <c r="J95" s="19"/>
      <c r="K95" s="19"/>
    </row>
    <row r="96" spans="4:11" x14ac:dyDescent="0.3">
      <c r="D96" s="19"/>
      <c r="E96" s="21" t="s">
        <v>85</v>
      </c>
      <c r="F96" s="19">
        <v>2</v>
      </c>
      <c r="G96" s="19"/>
      <c r="H96" s="19"/>
      <c r="I96" s="19"/>
      <c r="J96" s="19"/>
      <c r="K96" s="19"/>
    </row>
    <row r="97" spans="4:11" x14ac:dyDescent="0.3">
      <c r="D97" s="19"/>
      <c r="E97" s="21" t="s">
        <v>96</v>
      </c>
      <c r="F97" s="19">
        <v>2.5</v>
      </c>
      <c r="G97" s="19"/>
      <c r="H97" s="19"/>
      <c r="I97" s="19"/>
      <c r="J97" s="19"/>
      <c r="K97" s="19"/>
    </row>
    <row r="98" spans="4:11" x14ac:dyDescent="0.3">
      <c r="D98" s="19"/>
      <c r="E98" s="21" t="s">
        <v>86</v>
      </c>
      <c r="F98" s="19">
        <v>3</v>
      </c>
      <c r="H98" s="19"/>
      <c r="I98" s="19"/>
      <c r="J98" s="19"/>
      <c r="K98" s="19"/>
    </row>
    <row r="99" spans="4:11" x14ac:dyDescent="0.3">
      <c r="D99" s="19"/>
      <c r="E99" s="21" t="s">
        <v>146</v>
      </c>
      <c r="F99" s="19">
        <v>3.5</v>
      </c>
      <c r="H99" s="19"/>
      <c r="I99" s="19"/>
      <c r="J99" s="19"/>
      <c r="K99" s="19"/>
    </row>
    <row r="100" spans="4:11" x14ac:dyDescent="0.3">
      <c r="E100" s="21" t="s">
        <v>94</v>
      </c>
      <c r="F100" s="19">
        <v>4</v>
      </c>
      <c r="H100" s="19"/>
      <c r="I100" s="19"/>
      <c r="J100" s="19"/>
      <c r="K100" s="19"/>
    </row>
    <row r="101" spans="4:11" x14ac:dyDescent="0.3">
      <c r="E101" s="21" t="s">
        <v>97</v>
      </c>
      <c r="F101" s="19">
        <v>4.5</v>
      </c>
      <c r="G101" s="19" t="s">
        <v>102</v>
      </c>
      <c r="H101" s="19"/>
      <c r="I101" s="19"/>
      <c r="J101" s="19"/>
      <c r="K101" s="19"/>
    </row>
    <row r="102" spans="4:11" x14ac:dyDescent="0.3">
      <c r="E102" s="21" t="s">
        <v>95</v>
      </c>
      <c r="F102" s="19">
        <v>5</v>
      </c>
      <c r="G102" s="22" t="b">
        <f>IF('demande devis Soutien lycee Uni'!$B$25=E94,F94,IF('demande devis Soutien lycee Uni'!$B$25=E95,F95,IF('demande devis Soutien lycee Uni'!$B$25=E96,F96,IF('demande devis Soutien lycee Uni'!$B$25=E97,F97,IF('demande devis Soutien lycee Uni'!$B$25=E98,F98,IF('demande devis Soutien lycee Uni'!$B$25=E99,F99,IF('demande devis Soutien lycee Uni'!$B$25=E100,F100,IF('demande devis Soutien lycee Uni'!$B$25=E101,F101,IF('demande devis Soutien lycee Uni'!$B$25=E102,F102)))))))))</f>
        <v>0</v>
      </c>
      <c r="H102" s="19"/>
      <c r="I102" s="19"/>
      <c r="J102" s="19"/>
      <c r="K102" s="19"/>
    </row>
    <row r="103" spans="4:11" x14ac:dyDescent="0.3">
      <c r="D103" s="19"/>
      <c r="E103" s="21"/>
      <c r="F103" s="19"/>
      <c r="H103" s="23"/>
      <c r="I103" s="19"/>
      <c r="J103" s="19"/>
      <c r="K103" s="19"/>
    </row>
    <row r="104" spans="4:11" x14ac:dyDescent="0.3">
      <c r="D104" s="19"/>
      <c r="E104" s="21" t="s">
        <v>177</v>
      </c>
      <c r="F104" s="19">
        <v>1</v>
      </c>
      <c r="H104" s="23"/>
      <c r="I104" s="19"/>
      <c r="J104" s="19"/>
      <c r="K104" s="19"/>
    </row>
    <row r="105" spans="4:11" x14ac:dyDescent="0.3">
      <c r="D105" s="19"/>
      <c r="E105" s="21" t="s">
        <v>178</v>
      </c>
      <c r="F105" s="19">
        <v>2</v>
      </c>
      <c r="G105" s="19" t="s">
        <v>148</v>
      </c>
      <c r="H105" s="23"/>
      <c r="I105" s="19"/>
      <c r="J105" s="19"/>
      <c r="K105" s="19"/>
    </row>
    <row r="106" spans="4:11" x14ac:dyDescent="0.3">
      <c r="D106" s="19"/>
      <c r="E106" s="21" t="s">
        <v>179</v>
      </c>
      <c r="F106" s="19">
        <v>3</v>
      </c>
      <c r="G106" s="19" t="b">
        <f>IF('demande devis Soutien lycee Uni'!B26='calculateur Soutien'!E104,'calculateur Soutien'!F104,IF('demande devis Soutien lycee Uni'!B26='calculateur Soutien'!E105,'calculateur Soutien'!F105,IF('demande devis Soutien lycee Uni'!B26='calculateur Soutien'!E106,'calculateur Soutien'!F106)))</f>
        <v>0</v>
      </c>
      <c r="H106" s="23"/>
      <c r="I106" s="19"/>
      <c r="J106" s="19"/>
      <c r="K106" s="19"/>
    </row>
    <row r="107" spans="4:11" x14ac:dyDescent="0.3">
      <c r="D107" s="19"/>
      <c r="E107" s="21"/>
      <c r="F107" s="19"/>
      <c r="H107" s="23"/>
      <c r="I107" s="19"/>
      <c r="J107" s="19"/>
      <c r="K107" s="19"/>
    </row>
    <row r="108" spans="4:11" x14ac:dyDescent="0.3">
      <c r="D108" s="19"/>
      <c r="E108" s="21" t="s">
        <v>88</v>
      </c>
      <c r="F108" s="19">
        <v>1</v>
      </c>
      <c r="H108" t="s">
        <v>111</v>
      </c>
      <c r="I108" s="24">
        <f>F4</f>
        <v>0</v>
      </c>
      <c r="J108" s="19"/>
      <c r="K108" s="19"/>
    </row>
    <row r="109" spans="4:11" x14ac:dyDescent="0.3">
      <c r="D109" s="19"/>
      <c r="E109" s="21" t="s">
        <v>105</v>
      </c>
      <c r="F109" s="19">
        <v>2</v>
      </c>
      <c r="H109" t="s">
        <v>112</v>
      </c>
      <c r="I109" s="24">
        <f>F5</f>
        <v>0.3</v>
      </c>
      <c r="J109" s="19"/>
      <c r="K109" s="19"/>
    </row>
    <row r="110" spans="4:11" x14ac:dyDescent="0.3">
      <c r="D110" s="19"/>
      <c r="E110" s="21" t="s">
        <v>106</v>
      </c>
      <c r="F110" s="19">
        <v>3</v>
      </c>
      <c r="G110" s="19" t="s">
        <v>140</v>
      </c>
      <c r="H110" t="s">
        <v>113</v>
      </c>
      <c r="I110" s="24">
        <f>F6</f>
        <v>0.4</v>
      </c>
      <c r="J110" s="19"/>
      <c r="K110" s="19"/>
    </row>
    <row r="111" spans="4:11" x14ac:dyDescent="0.3">
      <c r="D111" s="19"/>
      <c r="E111" s="21"/>
      <c r="G111" s="19" t="b">
        <f>IF('demande devis Soutien lycee Uni'!B29='calculateur Soutien'!E108,'calculateur Soutien'!F108,IF('demande devis Soutien lycee Uni'!B29='calculateur Soutien'!E109,'calculateur Soutien'!F109,IF('demande devis Soutien lycee Uni'!B29='calculateur Soutien'!E110,'calculateur Soutien'!F110)))</f>
        <v>0</v>
      </c>
      <c r="H111" s="23"/>
      <c r="I111" s="19"/>
      <c r="J111" s="19"/>
      <c r="K111" s="19"/>
    </row>
    <row r="112" spans="4:11" ht="15.6" x14ac:dyDescent="0.3">
      <c r="D112" s="19"/>
      <c r="E112" s="21" t="s">
        <v>170</v>
      </c>
      <c r="F112" s="19"/>
      <c r="G112" s="20" t="s">
        <v>163</v>
      </c>
      <c r="H112" s="23"/>
      <c r="I112" s="19"/>
      <c r="J112" s="19"/>
      <c r="K112" s="19"/>
    </row>
    <row r="113" spans="4:11" ht="15.6" x14ac:dyDescent="0.3">
      <c r="D113" s="19"/>
      <c r="E113" s="21" t="s">
        <v>87</v>
      </c>
      <c r="F113" s="19"/>
      <c r="G113" s="20" t="s">
        <v>164</v>
      </c>
      <c r="H113" s="19"/>
      <c r="I113" s="19"/>
      <c r="J113" s="19"/>
      <c r="K113" s="19"/>
    </row>
    <row r="114" spans="4:11" x14ac:dyDescent="0.3">
      <c r="D114" s="19"/>
      <c r="E114" s="21"/>
      <c r="F114" s="19"/>
      <c r="G114" s="19"/>
      <c r="H114" s="19"/>
      <c r="I114" s="19"/>
      <c r="J114" s="19"/>
      <c r="K114" s="19"/>
    </row>
    <row r="115" spans="4:11" x14ac:dyDescent="0.3">
      <c r="D115" s="19"/>
      <c r="E115" s="21" t="s">
        <v>80</v>
      </c>
      <c r="F115" s="19"/>
      <c r="G115" s="19"/>
      <c r="H115" s="19"/>
      <c r="I115" s="19"/>
      <c r="J115" s="19"/>
      <c r="K115" s="19"/>
    </row>
    <row r="116" spans="4:11" x14ac:dyDescent="0.3">
      <c r="D116" s="19"/>
      <c r="E116" s="21" t="s">
        <v>81</v>
      </c>
      <c r="F116" s="19"/>
      <c r="G116" s="19"/>
      <c r="H116" s="19"/>
      <c r="I116" s="19"/>
      <c r="J116" s="19"/>
      <c r="K116" s="19"/>
    </row>
    <row r="117" spans="4:11" x14ac:dyDescent="0.3">
      <c r="D117" s="19"/>
      <c r="E117" s="21" t="s">
        <v>159</v>
      </c>
      <c r="F117" s="19"/>
      <c r="G117" s="19"/>
      <c r="H117" s="19"/>
      <c r="I117" s="19"/>
      <c r="J117" s="19"/>
      <c r="K117" s="19"/>
    </row>
    <row r="118" spans="4:11" x14ac:dyDescent="0.3">
      <c r="D118" s="19"/>
      <c r="E118" s="21" t="s">
        <v>160</v>
      </c>
      <c r="F118" s="19"/>
      <c r="G118" s="19"/>
      <c r="H118" s="19"/>
      <c r="I118" s="19"/>
      <c r="J118" s="19"/>
      <c r="K118" s="19"/>
    </row>
    <row r="119" spans="4:11" x14ac:dyDescent="0.3">
      <c r="D119" s="19"/>
      <c r="E119" s="21"/>
      <c r="F119" s="19"/>
      <c r="G119" s="19"/>
      <c r="H119" s="19"/>
      <c r="I119" s="19"/>
      <c r="J119" s="19"/>
      <c r="K119" s="19"/>
    </row>
    <row r="120" spans="4:11" x14ac:dyDescent="0.3">
      <c r="D120" s="19"/>
      <c r="E120" s="19" t="s">
        <v>27</v>
      </c>
      <c r="F120" s="19"/>
      <c r="G120" s="19"/>
      <c r="H120" s="19"/>
      <c r="I120" s="19"/>
      <c r="J120" s="19"/>
      <c r="K120" s="19"/>
    </row>
    <row r="121" spans="4:11" x14ac:dyDescent="0.3">
      <c r="D121" s="19"/>
      <c r="E121" s="19"/>
      <c r="F121" s="19"/>
      <c r="G121" s="19"/>
    </row>
    <row r="122" spans="4:11" x14ac:dyDescent="0.3">
      <c r="D122" s="25" t="s">
        <v>31</v>
      </c>
      <c r="E122" s="19" t="s">
        <v>28</v>
      </c>
      <c r="F122" s="19"/>
      <c r="G122" s="19"/>
      <c r="H122" s="19" t="s">
        <v>18</v>
      </c>
    </row>
    <row r="123" spans="4:11" x14ac:dyDescent="0.3">
      <c r="D123" s="19"/>
      <c r="E123" s="19" t="s">
        <v>29</v>
      </c>
      <c r="F123" s="19"/>
      <c r="G123" s="19"/>
      <c r="H123" s="19"/>
    </row>
    <row r="124" spans="4:11" x14ac:dyDescent="0.3">
      <c r="D124" s="19"/>
      <c r="E124" s="19"/>
      <c r="F124" s="19" t="s">
        <v>33</v>
      </c>
      <c r="G124" s="19"/>
      <c r="H124" s="22" t="str">
        <f>IF('demande devis Soutien lycee Uni'!$B$36=$E$122,$F$124," "    )</f>
        <v xml:space="preserve"> </v>
      </c>
    </row>
    <row r="125" spans="4:11" x14ac:dyDescent="0.3">
      <c r="D125" s="19"/>
      <c r="E125" s="19" t="s">
        <v>36</v>
      </c>
      <c r="F125" s="19" t="s">
        <v>49</v>
      </c>
      <c r="G125" s="19"/>
      <c r="H125" s="22" t="str">
        <f>IF('demande devis Soutien lycee Uni'!$B$37=$E$122,$F$125," "    )</f>
        <v xml:space="preserve"> </v>
      </c>
    </row>
    <row r="126" spans="4:11" x14ac:dyDescent="0.3">
      <c r="D126" s="19"/>
      <c r="E126" s="19" t="s">
        <v>29</v>
      </c>
      <c r="F126" s="19" t="s">
        <v>34</v>
      </c>
      <c r="G126" s="19"/>
      <c r="H126" s="22" t="str">
        <f>IF('demande devis Soutien lycee Uni'!$B$38=$E$122,$F$126," "    )</f>
        <v xml:space="preserve"> </v>
      </c>
    </row>
    <row r="127" spans="4:11" x14ac:dyDescent="0.3">
      <c r="F127" s="19" t="s">
        <v>32</v>
      </c>
      <c r="G127" s="19"/>
      <c r="H127" s="22" t="str">
        <f>IF('demande devis Soutien lycee Uni'!$B$39=$E$122,$F$127," "    )</f>
        <v xml:space="preserve"> </v>
      </c>
    </row>
    <row r="128" spans="4:11" x14ac:dyDescent="0.3">
      <c r="D128" s="19"/>
      <c r="F128" s="19" t="s">
        <v>35</v>
      </c>
      <c r="G128" s="19"/>
      <c r="H128" s="22" t="str">
        <f>IF('demande devis Soutien lycee Uni'!$B$40=$E$122,$F$128," "    )</f>
        <v xml:space="preserve"> </v>
      </c>
    </row>
    <row r="129" spans="4:11" x14ac:dyDescent="0.3">
      <c r="D129" s="19"/>
      <c r="F129" s="19" t="s">
        <v>50</v>
      </c>
      <c r="G129" s="19"/>
      <c r="H129" s="22" t="str">
        <f>IF('demande devis Soutien lycee Uni'!$B$41=$E$125,F129, " "    )</f>
        <v xml:space="preserve"> </v>
      </c>
    </row>
    <row r="130" spans="4:11" x14ac:dyDescent="0.3">
      <c r="D130" s="19"/>
      <c r="E130" s="19"/>
      <c r="F130" s="19"/>
      <c r="G130" s="19"/>
      <c r="H130" s="19"/>
      <c r="J130" s="19"/>
      <c r="K130" s="19"/>
    </row>
    <row r="131" spans="4:11" x14ac:dyDescent="0.3">
      <c r="D131" s="19"/>
      <c r="E131" s="19"/>
      <c r="F131" s="19"/>
      <c r="G131" s="19" t="s">
        <v>30</v>
      </c>
      <c r="H131" s="26" t="str">
        <f>CONCATENATE(H124,H125,H126,H127,H128,H129)</f>
        <v xml:space="preserve">      </v>
      </c>
      <c r="J131" s="19"/>
      <c r="K131" s="19"/>
    </row>
    <row r="132" spans="4:11" x14ac:dyDescent="0.3">
      <c r="D132" s="19"/>
      <c r="E132" s="19"/>
      <c r="F132" s="19"/>
      <c r="G132" s="19"/>
      <c r="H132" s="19" t="s">
        <v>56</v>
      </c>
      <c r="I132" s="19"/>
      <c r="J132" s="19"/>
      <c r="K132" s="19"/>
    </row>
    <row r="133" spans="4:11" x14ac:dyDescent="0.3">
      <c r="D133" s="19"/>
      <c r="E133" s="19" t="s">
        <v>19</v>
      </c>
      <c r="F133" s="19"/>
      <c r="G133" s="19"/>
      <c r="H133" s="19"/>
      <c r="I133" s="19"/>
      <c r="J133" s="19"/>
      <c r="K133" s="19"/>
    </row>
    <row r="134" spans="4:11" x14ac:dyDescent="0.3">
      <c r="D134" s="19"/>
      <c r="E134" s="27">
        <f>IF('demande devis Soutien lycee Uni'!$B$36=$E$122,0.03, 0)</f>
        <v>0</v>
      </c>
      <c r="F134" s="19"/>
      <c r="G134" s="19"/>
      <c r="H134" s="19"/>
      <c r="I134" s="19"/>
      <c r="J134" s="19"/>
      <c r="K134" s="19"/>
    </row>
    <row r="135" spans="4:11" x14ac:dyDescent="0.3">
      <c r="D135" s="19"/>
      <c r="E135" s="27">
        <f>IF('demande devis Soutien lycee Uni'!$B$37=$E$122,0.03, 0)</f>
        <v>0</v>
      </c>
      <c r="F135" s="19"/>
      <c r="G135" s="19"/>
      <c r="H135" s="19"/>
      <c r="I135" s="19"/>
      <c r="J135" s="19"/>
      <c r="K135" s="19"/>
    </row>
    <row r="136" spans="4:11" x14ac:dyDescent="0.3">
      <c r="D136" s="19"/>
      <c r="E136" s="27">
        <f>IF('demande devis Soutien lycee Uni'!$B$38=$E$122,0.03, 0)</f>
        <v>0</v>
      </c>
      <c r="F136" s="19"/>
      <c r="G136" s="19"/>
      <c r="H136" s="19"/>
      <c r="I136" s="19"/>
      <c r="J136" s="19"/>
      <c r="K136" s="19"/>
    </row>
    <row r="137" spans="4:11" x14ac:dyDescent="0.3">
      <c r="D137" s="19"/>
      <c r="E137" s="27">
        <f>IF('demande devis Soutien lycee Uni'!$B$39=$E$122,0.03, 0)</f>
        <v>0</v>
      </c>
      <c r="F137" s="19"/>
      <c r="G137" s="19"/>
      <c r="H137" s="19"/>
      <c r="I137" s="19"/>
      <c r="J137" s="19"/>
      <c r="K137" s="19"/>
    </row>
    <row r="138" spans="4:11" x14ac:dyDescent="0.3">
      <c r="D138" s="19"/>
      <c r="E138" s="27">
        <f>IF('demande devis Soutien lycee Uni'!$B$40=$E$122,0.03, 0)</f>
        <v>0</v>
      </c>
      <c r="F138" s="19"/>
      <c r="G138" s="19"/>
      <c r="H138" s="19"/>
      <c r="I138" s="19"/>
      <c r="J138" s="19"/>
      <c r="K138" s="19"/>
    </row>
    <row r="139" spans="4:11" x14ac:dyDescent="0.3">
      <c r="D139" s="19"/>
      <c r="E139" s="27">
        <f>IF('demande devis Soutien lycee Uni'!$B$41=E125,0.1, 0)</f>
        <v>0</v>
      </c>
      <c r="F139" s="19"/>
      <c r="G139" s="19"/>
      <c r="H139" s="19"/>
      <c r="I139" s="19"/>
      <c r="J139" s="19"/>
      <c r="K139" s="19"/>
    </row>
    <row r="140" spans="4:11" x14ac:dyDescent="0.3">
      <c r="D140" s="19"/>
      <c r="E140" s="19"/>
      <c r="F140" s="19"/>
      <c r="G140" s="19"/>
      <c r="H140" s="19"/>
      <c r="I140" s="19"/>
      <c r="J140" s="19"/>
      <c r="K140" s="19"/>
    </row>
    <row r="141" spans="4:11" x14ac:dyDescent="0.3">
      <c r="D141" s="19"/>
      <c r="E141" s="19"/>
      <c r="F141" s="19"/>
      <c r="G141" s="19"/>
      <c r="H141" s="19"/>
      <c r="I141" s="19"/>
      <c r="J141" s="19"/>
      <c r="K141" s="19"/>
    </row>
    <row r="142" spans="4:11" x14ac:dyDescent="0.3">
      <c r="D142" s="19"/>
      <c r="E142" s="19"/>
      <c r="F142" s="19"/>
      <c r="G142" s="19"/>
      <c r="H142" s="19"/>
      <c r="I142" s="19"/>
      <c r="J142" s="19"/>
      <c r="K142" s="19"/>
    </row>
  </sheetData>
  <sheetProtection algorithmName="SHA-512" hashValue="+TZuDpahgtyxvsgV98pfG1pWzKrrZfnSZes7c1XuPRKs8ePvJOA2ow0FXNkJgyYKBUudxYr3ydmOp78XSin6Bw==" saltValue="L0FdFMobn9ONcxGezwMcGQ==" spinCount="100000" sheet="1" selectLockedCells="1"/>
  <mergeCells count="2">
    <mergeCell ref="D15:O15"/>
    <mergeCell ref="E68:F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C44"/>
  <sheetViews>
    <sheetView tabSelected="1" topLeftCell="A5" zoomScale="96" zoomScaleNormal="85" workbookViewId="0">
      <selection activeCell="B22" sqref="B22"/>
    </sheetView>
  </sheetViews>
  <sheetFormatPr baseColWidth="10" defaultColWidth="11.44140625" defaultRowHeight="14.4" x14ac:dyDescent="0.3"/>
  <cols>
    <col min="1" max="1" width="45.33203125" style="21" customWidth="1"/>
    <col min="2" max="2" width="48.5546875" style="21" customWidth="1"/>
    <col min="3" max="3" width="4.33203125" style="21" customWidth="1"/>
    <col min="4" max="4" width="11.44140625" style="21"/>
    <col min="5" max="5" width="18.33203125" style="21" customWidth="1"/>
    <col min="6" max="6" width="18.6640625" style="21" customWidth="1"/>
    <col min="7" max="7" width="18.33203125" style="21" customWidth="1"/>
    <col min="8" max="8" width="15.77734375" style="21" customWidth="1"/>
    <col min="9" max="16384" width="11.44140625" style="21"/>
  </cols>
  <sheetData>
    <row r="1" spans="1:3" ht="57.6" customHeight="1" x14ac:dyDescent="0.3">
      <c r="B1" s="47" t="s">
        <v>167</v>
      </c>
    </row>
    <row r="2" spans="1:3" ht="21" customHeight="1" x14ac:dyDescent="0.3">
      <c r="A2" s="87" t="s">
        <v>161</v>
      </c>
      <c r="B2" s="87"/>
    </row>
    <row r="3" spans="1:3" ht="20.399999999999999" customHeight="1" x14ac:dyDescent="0.3">
      <c r="A3" s="65" t="s">
        <v>181</v>
      </c>
      <c r="B3" s="66" t="s">
        <v>182</v>
      </c>
    </row>
    <row r="4" spans="1:3" ht="18" x14ac:dyDescent="0.3">
      <c r="A4" s="91" t="s">
        <v>57</v>
      </c>
      <c r="B4" s="91"/>
    </row>
    <row r="5" spans="1:3" ht="17.399999999999999" customHeight="1" x14ac:dyDescent="0.3">
      <c r="A5" s="20" t="s">
        <v>37</v>
      </c>
      <c r="B5" s="1"/>
      <c r="C5" s="29"/>
    </row>
    <row r="6" spans="1:3" ht="17.399999999999999" customHeight="1" x14ac:dyDescent="0.3">
      <c r="A6" s="20" t="s">
        <v>24</v>
      </c>
      <c r="B6" s="1"/>
    </row>
    <row r="7" spans="1:3" ht="17.399999999999999" customHeight="1" x14ac:dyDescent="0.3">
      <c r="A7" s="20" t="s">
        <v>23</v>
      </c>
      <c r="B7" s="1"/>
    </row>
    <row r="8" spans="1:3" ht="17.399999999999999" customHeight="1" x14ac:dyDescent="0.3">
      <c r="A8" s="20" t="s">
        <v>60</v>
      </c>
      <c r="B8" s="1"/>
      <c r="C8" s="29"/>
    </row>
    <row r="9" spans="1:3" ht="17.399999999999999" customHeight="1" x14ac:dyDescent="0.3">
      <c r="A9" s="20" t="s">
        <v>14</v>
      </c>
      <c r="B9" s="2"/>
    </row>
    <row r="10" spans="1:3" ht="17.399999999999999" customHeight="1" x14ac:dyDescent="0.3">
      <c r="A10" s="20" t="s">
        <v>13</v>
      </c>
      <c r="B10" s="3"/>
    </row>
    <row r="11" spans="1:3" ht="41.4" customHeight="1" x14ac:dyDescent="0.3">
      <c r="A11" s="20" t="s">
        <v>17</v>
      </c>
      <c r="B11" s="1"/>
    </row>
    <row r="12" spans="1:3" ht="20.399999999999999" customHeight="1" x14ac:dyDescent="0.3">
      <c r="A12" s="20" t="s">
        <v>58</v>
      </c>
      <c r="B12" s="1"/>
      <c r="C12" s="29"/>
    </row>
    <row r="13" spans="1:3" ht="18.600000000000001" customHeight="1" x14ac:dyDescent="0.3">
      <c r="A13" s="20" t="str">
        <f>IF('demande devis Soutien lycee Uni'!$B$12='calculateur Soutien'!$E$46,'calculateur Soutien'!$G$47,'calculateur Soutien'!$G$46)</f>
        <v>Personne majeur(e), ignorer la case</v>
      </c>
      <c r="B13" s="11"/>
    </row>
    <row r="14" spans="1:3" ht="19.2" customHeight="1" x14ac:dyDescent="0.3">
      <c r="A14" s="30" t="str">
        <f>IF('demande devis Soutien lycee Uni'!$B$12='calculateur Soutien'!$E$46,'calculateur Soutien'!$G$48,'calculateur Soutien'!$G$46)</f>
        <v>Personne majeur(e), ignorer la case</v>
      </c>
      <c r="B14" s="2"/>
    </row>
    <row r="15" spans="1:3" ht="20.399999999999999" customHeight="1" x14ac:dyDescent="0.3">
      <c r="A15" s="20" t="str">
        <f>IF('demande devis Soutien lycee Uni'!$B$12='calculateur Soutien'!$E$46,'calculateur Soutien'!$G$49,'calculateur Soutien'!$G$46)</f>
        <v>Personne majeur(e), ignorer la case</v>
      </c>
      <c r="B15" s="39"/>
    </row>
    <row r="16" spans="1:3" ht="20.399999999999999" customHeight="1" x14ac:dyDescent="0.3">
      <c r="A16" s="20" t="s">
        <v>39</v>
      </c>
      <c r="B16" s="4"/>
    </row>
    <row r="17" spans="1:3" ht="18" customHeight="1" x14ac:dyDescent="0.3">
      <c r="A17" s="92" t="s">
        <v>20</v>
      </c>
      <c r="B17" s="93"/>
    </row>
    <row r="18" spans="1:3" ht="15.6" customHeight="1" x14ac:dyDescent="0.3">
      <c r="A18" s="31" t="s">
        <v>116</v>
      </c>
      <c r="B18" s="5"/>
      <c r="C18" s="29"/>
    </row>
    <row r="19" spans="1:3" ht="15.6" customHeight="1" x14ac:dyDescent="0.3">
      <c r="A19" s="31" t="s">
        <v>74</v>
      </c>
      <c r="B19" s="5"/>
      <c r="C19" s="29"/>
    </row>
    <row r="20" spans="1:3" ht="15.6" customHeight="1" x14ac:dyDescent="0.3">
      <c r="A20" s="31" t="s">
        <v>133</v>
      </c>
      <c r="B20" s="5"/>
      <c r="C20" s="29"/>
    </row>
    <row r="21" spans="1:3" ht="46.2" customHeight="1" x14ac:dyDescent="0.3">
      <c r="A21" s="31" t="s">
        <v>127</v>
      </c>
      <c r="B21" s="5"/>
    </row>
    <row r="22" spans="1:3" ht="17.399999999999999" customHeight="1" x14ac:dyDescent="0.3">
      <c r="A22" s="31" t="s">
        <v>134</v>
      </c>
      <c r="B22" s="5"/>
      <c r="C22" s="29"/>
    </row>
    <row r="23" spans="1:3" ht="17.399999999999999" customHeight="1" x14ac:dyDescent="0.3">
      <c r="A23" s="31" t="s">
        <v>149</v>
      </c>
      <c r="B23" s="42" t="str">
        <f>IF('demande devis Soutien lycee Uni'!$B$22='calculateur Soutien'!$E$112,'calculateur Soutien'!$G$112,'calculateur Soutien'!$G$113)</f>
        <v>Pas de frais de déplacements</v>
      </c>
    </row>
    <row r="24" spans="1:3" ht="17.399999999999999" customHeight="1" x14ac:dyDescent="0.3">
      <c r="A24" s="31" t="s">
        <v>125</v>
      </c>
      <c r="B24" s="5"/>
      <c r="C24" s="32"/>
    </row>
    <row r="25" spans="1:3" ht="17.399999999999999" customHeight="1" x14ac:dyDescent="0.3">
      <c r="A25" s="31" t="s">
        <v>126</v>
      </c>
      <c r="B25" s="5"/>
      <c r="C25" s="32"/>
    </row>
    <row r="26" spans="1:3" ht="17.399999999999999" customHeight="1" x14ac:dyDescent="0.3">
      <c r="A26" s="31" t="s">
        <v>147</v>
      </c>
      <c r="B26" s="5"/>
      <c r="C26" s="32"/>
    </row>
    <row r="27" spans="1:3" ht="25.2" customHeight="1" x14ac:dyDescent="0.3">
      <c r="A27" s="31" t="s">
        <v>128</v>
      </c>
      <c r="B27" s="33" t="str">
        <f>CONCATENATE('calculateur Soutien'!$E$17, " h / mois")</f>
        <v>0 h / mois</v>
      </c>
    </row>
    <row r="28" spans="1:3" ht="23.4" customHeight="1" x14ac:dyDescent="0.3">
      <c r="A28" s="31" t="s">
        <v>92</v>
      </c>
      <c r="B28" s="34" t="str">
        <f>'calculateur Soutien'!$E$18</f>
        <v>Tarif unitaire (0-6 heures / mois)</v>
      </c>
    </row>
    <row r="29" spans="1:3" ht="17.399999999999999" customHeight="1" x14ac:dyDescent="0.3">
      <c r="A29" s="31" t="s">
        <v>93</v>
      </c>
      <c r="B29" s="5"/>
      <c r="C29" s="29"/>
    </row>
    <row r="30" spans="1:3" ht="15.6" customHeight="1" x14ac:dyDescent="0.3">
      <c r="A30" s="35" t="s">
        <v>110</v>
      </c>
      <c r="B30" s="40" t="b">
        <f>IF('demande devis Soutien lycee Uni'!$B$29='calculateur Soutien'!E108,'calculateur Soutien'!H108,IF('demande devis Soutien lycee Uni'!$B$29='calculateur Soutien'!E109,'calculateur Soutien'!H109,IF('demande devis Soutien lycee Uni'!$B$29='calculateur Soutien'!E110,'calculateur Soutien'!H110)))</f>
        <v>0</v>
      </c>
    </row>
    <row r="31" spans="1:3" ht="27.6" customHeight="1" x14ac:dyDescent="0.3">
      <c r="A31" s="35" t="s">
        <v>162</v>
      </c>
      <c r="B31" s="36" t="b">
        <f>IF('demande devis Soutien lycee Uni'!$B$29='calculateur Soutien'!E108,'calculateur Soutien'!I108,IF('demande devis Soutien lycee Uni'!$B$29='calculateur Soutien'!E109,'calculateur Soutien'!I109,IF('demande devis Soutien lycee Uni'!$B$29='calculateur Soutien'!E110,'calculateur Soutien'!I110)))</f>
        <v>0</v>
      </c>
    </row>
    <row r="32" spans="1:3" ht="15.6" customHeight="1" x14ac:dyDescent="0.3">
      <c r="A32" s="31" t="s">
        <v>79</v>
      </c>
      <c r="B32" s="5"/>
      <c r="C32" s="29"/>
    </row>
    <row r="33" spans="1:3" ht="15.6" customHeight="1" x14ac:dyDescent="0.3">
      <c r="A33" s="31" t="s">
        <v>82</v>
      </c>
      <c r="B33" s="41"/>
    </row>
    <row r="34" spans="1:3" ht="48" customHeight="1" x14ac:dyDescent="0.3">
      <c r="A34" s="31" t="s">
        <v>21</v>
      </c>
      <c r="B34" s="7"/>
    </row>
    <row r="35" spans="1:3" ht="18" x14ac:dyDescent="0.3">
      <c r="A35" s="90" t="s">
        <v>144</v>
      </c>
      <c r="B35" s="90"/>
    </row>
    <row r="36" spans="1:3" ht="12.6" customHeight="1" x14ac:dyDescent="0.3">
      <c r="A36" s="37" t="s">
        <v>42</v>
      </c>
      <c r="B36" s="6"/>
      <c r="C36" s="29"/>
    </row>
    <row r="37" spans="1:3" ht="12.6" customHeight="1" x14ac:dyDescent="0.3">
      <c r="A37" s="37" t="s">
        <v>43</v>
      </c>
      <c r="B37" s="6"/>
      <c r="C37" s="29"/>
    </row>
    <row r="38" spans="1:3" ht="12.6" customHeight="1" x14ac:dyDescent="0.3">
      <c r="A38" s="37" t="s">
        <v>44</v>
      </c>
      <c r="B38" s="6"/>
      <c r="C38" s="29"/>
    </row>
    <row r="39" spans="1:3" ht="12.6" customHeight="1" x14ac:dyDescent="0.3">
      <c r="A39" s="37" t="s">
        <v>45</v>
      </c>
      <c r="B39" s="6"/>
      <c r="C39" s="29"/>
    </row>
    <row r="40" spans="1:3" ht="12.6" customHeight="1" x14ac:dyDescent="0.3">
      <c r="A40" s="37" t="s">
        <v>46</v>
      </c>
      <c r="B40" s="6"/>
      <c r="C40" s="29"/>
    </row>
    <row r="41" spans="1:3" ht="12.6" customHeight="1" x14ac:dyDescent="0.3">
      <c r="A41" s="37" t="s">
        <v>55</v>
      </c>
      <c r="B41" s="6"/>
      <c r="C41" s="29"/>
    </row>
    <row r="42" spans="1:3" ht="17.399999999999999" customHeight="1" x14ac:dyDescent="0.3">
      <c r="A42" s="38" t="s">
        <v>142</v>
      </c>
      <c r="B42" s="36">
        <f>IF(  SUM('calculateur Soutien'!$E$134:$E$139)&lt;=0.1,SUM('calculateur Soutien'!$E$134:$E$139), 0.1)</f>
        <v>0</v>
      </c>
    </row>
    <row r="43" spans="1:3" ht="15" thickBot="1" x14ac:dyDescent="0.35"/>
    <row r="44" spans="1:3" ht="27.6" customHeight="1" thickTop="1" x14ac:dyDescent="0.3">
      <c r="A44" s="88" t="s">
        <v>169</v>
      </c>
      <c r="B44" s="89"/>
      <c r="C44" s="89"/>
    </row>
  </sheetData>
  <sheetProtection algorithmName="SHA-512" hashValue="KiBpGnmrVQ+XgSpjVlmQI/O9/kK97qwptUoKLBHYmKRTVEfZxGMWx8AgRu4vfekvX2aqSmBsQdLoEdlZQS44gQ==" saltValue="IFBF6K7Vb9mJXVYCHGMX1A==" spinCount="100000" sheet="1" selectLockedCells="1"/>
  <mergeCells count="5">
    <mergeCell ref="A2:B2"/>
    <mergeCell ref="A44:C44"/>
    <mergeCell ref="A35:B35"/>
    <mergeCell ref="A4:B4"/>
    <mergeCell ref="A17:B1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8" yWindow="793" count="15">
        <x14:dataValidation type="list" showInputMessage="1" showErrorMessage="1" error="Annuler et sélectionner dans la liste à l'aide du bouton de droite" xr:uid="{A294A6ED-48A5-453D-A0B3-3CB504DCF0F7}">
          <x14:formula1>
            <xm:f>'calculateur Soutien'!$E$64:$E$65</xm:f>
          </x14:formula1>
          <xm:sqref>B19</xm:sqref>
        </x14:dataValidation>
        <x14:dataValidation type="list" allowBlank="1" showInputMessage="1" showErrorMessage="1" error="Annuler et sélectionner dans la liste à l'aide du bouton de droite" prompt="Bouton de sélection à droite" xr:uid="{93E30F7E-BC95-4411-9732-E3A525F62878}">
          <x14:formula1>
            <xm:f>'calculateur Soutien'!$E$37:$E$38</xm:f>
          </x14:formula1>
          <xm:sqref>B5</xm:sqref>
        </x14:dataValidation>
        <x14:dataValidation type="list" showInputMessage="1" showErrorMessage="1" error="Annuler et sélectionner dans la liste à l'aide du bouton de droite" prompt="Bouton de sélection à droite" xr:uid="{08382CA9-A34A-4BAD-8E48-8F50BBE74E8D}">
          <x14:formula1>
            <xm:f>'calculateur Soutien'!$E$40:$E$43</xm:f>
          </x14:formula1>
          <xm:sqref>B8</xm:sqref>
        </x14:dataValidation>
        <x14:dataValidation type="list" allowBlank="1" showInputMessage="1" showErrorMessage="1" error="Annuler et sélectionner dans la liste à l'aide du bouton de droite" prompt="Bouton de sélection à droite" xr:uid="{A25D9126-6833-4314-9E90-553323DEC2F0}">
          <x14:formula1>
            <xm:f>'calculateur Soutien'!$E$46:$E$47</xm:f>
          </x14:formula1>
          <xm:sqref>B12</xm:sqref>
        </x14:dataValidation>
        <x14:dataValidation type="list" showInputMessage="1" showErrorMessage="1" error="Annuler et sélectionner dans la liste à l'aide du bouton de droite" prompt="Bouton de sélection à droite" xr:uid="{621F3605-8110-4EFB-A42B-10D21DD639F2}">
          <x14:formula1>
            <xm:f>'calculateur Soutien'!$E$55:$E$62</xm:f>
          </x14:formula1>
          <xm:sqref>B18</xm:sqref>
        </x14:dataValidation>
        <x14:dataValidation type="list" showInputMessage="1" showErrorMessage="1" error="Annuler et sélectionner dans la liste à l'aide du bouton de droite" xr:uid="{8509EAC9-C64C-454E-9C37-D74A4176DE81}">
          <x14:formula1>
            <xm:f>'calculateur Soutien'!$E$115:$E$118</xm:f>
          </x14:formula1>
          <xm:sqref>B32</xm:sqref>
        </x14:dataValidation>
        <x14:dataValidation type="list" showInputMessage="1" showErrorMessage="1" error="Annuler et sélectionner dans la liste à l'aide du bouton de droite" xr:uid="{1F878D70-BEF0-4D56-AFE7-983D7183E61A}">
          <x14:formula1>
            <xm:f>'calculateur Soutien'!$E$108:$E$110</xm:f>
          </x14:formula1>
          <xm:sqref>B29</xm:sqref>
        </x14:dataValidation>
        <x14:dataValidation type="list" showInputMessage="1" showErrorMessage="1" error="Annuler et sélectionner dans la liste à l'aide du bouton de droite" xr:uid="{D199C427-AAC7-4EF2-8E65-DC11B4C5A6B6}">
          <x14:formula1>
            <xm:f>'calculateur Soutien'!$E$112:$E$113</xm:f>
          </x14:formula1>
          <xm:sqref>B22</xm:sqref>
        </x14:dataValidation>
        <x14:dataValidation type="list" allowBlank="1" showInputMessage="1" showErrorMessage="1" error="Annuler et sélectionner dans la liste à l'aide du bouton de droite" xr:uid="{C31C8859-79F1-42AC-B9ED-C7EA0DD67C29}">
          <x14:formula1>
            <xm:f>'calculateur Soutien'!$E$122:$E$123</xm:f>
          </x14:formula1>
          <xm:sqref>B36:B40</xm:sqref>
        </x14:dataValidation>
        <x14:dataValidation type="list" allowBlank="1" showInputMessage="1" showErrorMessage="1" error="Annuler et sélectionner dans la liste à l'aide du bouton de droite" xr:uid="{B55AAD1F-1E74-456F-8AD6-D932F07AE404}">
          <x14:formula1>
            <xm:f>'calculateur Soutien'!$E$125:$E$126</xm:f>
          </x14:formula1>
          <xm:sqref>B41</xm:sqref>
        </x14:dataValidation>
        <x14:dataValidation type="list" showInputMessage="1" showErrorMessage="1" error="Annuler et sélectionner dans la liste à l'aide du bouton de droite" xr:uid="{EF970339-02F2-43E1-9203-161D842DC26B}">
          <x14:formula1>
            <xm:f>'calculateur Soutien'!$E$94:$E$102</xm:f>
          </x14:formula1>
          <xm:sqref>B25</xm:sqref>
        </x14:dataValidation>
        <x14:dataValidation type="list" showInputMessage="1" showErrorMessage="1" error="Annuler et sélectionner dans la liste à l'aide du bouton de droite" xr:uid="{D7E4C122-92D7-40F4-923B-3F658DF89F2A}">
          <x14:formula1>
            <xm:f>'calculateur Soutien'!$E$89:$E$92</xm:f>
          </x14:formula1>
          <xm:sqref>B24</xm:sqref>
        </x14:dataValidation>
        <x14:dataValidation type="list" showInputMessage="1" showErrorMessage="1" error="Annuler et sélectionner dans la liste à l'aide du bouton de droite" prompt="Bouton de sélection à droite" xr:uid="{96DA0A71-446C-48D2-8E3C-891A9397EB6C}">
          <x14:formula1>
            <xm:f>'calculateur Soutien'!$E$47:$E$47</xm:f>
          </x14:formula1>
          <xm:sqref>C8 C12</xm:sqref>
        </x14:dataValidation>
        <x14:dataValidation type="list" showInputMessage="1" showErrorMessage="1" error="Annuler et sélectionner dans la liste à l'aide du bouton de droite" xr:uid="{31059608-252A-4F8C-AF76-1D8D5462754F}">
          <x14:formula1>
            <xm:f>'calculateur Soutien'!$E$104:$E$106</xm:f>
          </x14:formula1>
          <xm:sqref>B26</xm:sqref>
        </x14:dataValidation>
        <x14:dataValidation type="list" showInputMessage="1" showErrorMessage="1" error="Annuler et sélectionner dans la liste à l'aide du bouton de droite" xr:uid="{712EBFC3-7E7A-4056-AEE8-378ECDC001D2}">
          <x14:formula1>
            <xm:f>'calculateur Soutien'!$E$71:$E$87</xm:f>
          </x14:formula1>
          <xm:sqref>B20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Devis SOUTIEN</vt:lpstr>
      <vt:lpstr>calculateur Soutien</vt:lpstr>
      <vt:lpstr>demande devis Soutien lycee Uni</vt:lpstr>
      <vt:lpstr>Mme</vt:lpstr>
      <vt:lpstr>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2025-03-21T05:21:21Z</cp:lastPrinted>
  <dcterms:created xsi:type="dcterms:W3CDTF">2014-05-04T17:33:05Z</dcterms:created>
  <dcterms:modified xsi:type="dcterms:W3CDTF">2025-03-21T06:13:10Z</dcterms:modified>
</cp:coreProperties>
</file>